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L\UD\Westrock\"/>
    </mc:Choice>
  </mc:AlternateContent>
  <xr:revisionPtr revIDLastSave="0" documentId="13_ncr:1_{B0AAADFD-308E-4DCC-8091-85F89D1059F1}" xr6:coauthVersionLast="47" xr6:coauthVersionMax="47" xr10:uidLastSave="{00000000-0000-0000-0000-000000000000}"/>
  <bookViews>
    <workbookView xWindow="-120" yWindow="-120" windowWidth="29040" windowHeight="15840" xr2:uid="{141A7822-BBBE-4CAE-915E-1BB23871B7D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2788" i="1"/>
  <c r="A2788" i="1"/>
  <c r="B2612" i="1"/>
  <c r="A2612" i="1"/>
  <c r="B2550" i="1"/>
  <c r="A2550" i="1"/>
  <c r="B2397" i="1"/>
  <c r="A2397" i="1"/>
  <c r="B13982" i="1"/>
  <c r="B13981" i="1"/>
  <c r="B13980" i="1"/>
  <c r="B13979" i="1"/>
  <c r="B13978" i="1"/>
  <c r="B13977" i="1"/>
  <c r="B13976" i="1"/>
  <c r="B13975" i="1"/>
  <c r="B13974" i="1"/>
  <c r="B13973" i="1"/>
  <c r="B13972" i="1"/>
  <c r="B13971" i="1"/>
  <c r="B13970" i="1"/>
  <c r="B13969" i="1"/>
  <c r="B13968" i="1"/>
  <c r="B13967" i="1"/>
  <c r="B13966" i="1"/>
  <c r="B13965" i="1"/>
  <c r="B13964" i="1"/>
  <c r="B13963" i="1"/>
  <c r="B13962" i="1"/>
  <c r="B13961" i="1"/>
  <c r="B13960" i="1"/>
  <c r="B13959" i="1"/>
  <c r="B13958" i="1"/>
  <c r="B13957" i="1"/>
  <c r="B13956" i="1"/>
  <c r="B13955" i="1"/>
  <c r="B13954" i="1"/>
  <c r="B13953" i="1"/>
  <c r="B13952" i="1"/>
  <c r="B13951" i="1"/>
  <c r="B13950" i="1"/>
  <c r="B13949" i="1"/>
  <c r="B13948" i="1"/>
  <c r="B13947" i="1"/>
  <c r="B13946" i="1"/>
  <c r="B13945" i="1"/>
  <c r="B13944" i="1"/>
  <c r="B13943" i="1"/>
  <c r="B13942" i="1"/>
  <c r="B13941" i="1"/>
  <c r="B13940" i="1"/>
  <c r="B13939" i="1"/>
  <c r="B13938" i="1"/>
  <c r="B13937" i="1"/>
  <c r="B13936" i="1"/>
  <c r="B13935" i="1"/>
  <c r="B13934" i="1"/>
  <c r="B13933" i="1"/>
  <c r="B13932" i="1"/>
  <c r="B13931" i="1"/>
  <c r="B13930" i="1"/>
  <c r="B13929" i="1"/>
  <c r="B13928" i="1"/>
  <c r="B13927" i="1"/>
  <c r="B13926" i="1"/>
  <c r="B13925" i="1"/>
  <c r="B13924" i="1"/>
  <c r="B13923" i="1"/>
  <c r="B13922" i="1"/>
  <c r="B13921" i="1"/>
  <c r="B13920" i="1"/>
  <c r="B13919" i="1"/>
  <c r="B13918" i="1"/>
  <c r="B13917" i="1"/>
  <c r="B13916" i="1"/>
  <c r="B13915" i="1"/>
  <c r="B13914" i="1"/>
  <c r="B13913" i="1"/>
  <c r="B13912" i="1"/>
  <c r="B13911" i="1"/>
  <c r="B13910" i="1"/>
  <c r="B13909" i="1"/>
  <c r="B13908" i="1"/>
  <c r="B13907" i="1"/>
  <c r="B13906" i="1"/>
  <c r="B13905" i="1"/>
  <c r="B13904" i="1"/>
  <c r="B13903" i="1"/>
  <c r="B13902" i="1"/>
  <c r="B13901" i="1"/>
  <c r="B13900" i="1"/>
  <c r="B13899" i="1"/>
  <c r="B13898" i="1"/>
  <c r="B13897" i="1"/>
  <c r="B13896" i="1"/>
  <c r="B13895" i="1"/>
  <c r="B13894" i="1"/>
  <c r="B13893" i="1"/>
  <c r="B13892" i="1"/>
  <c r="B13891" i="1"/>
  <c r="B13890" i="1"/>
  <c r="B13889" i="1"/>
  <c r="B13888" i="1"/>
  <c r="B13887" i="1"/>
  <c r="B13886" i="1"/>
  <c r="B13885" i="1"/>
  <c r="B13884" i="1"/>
  <c r="B13883" i="1"/>
  <c r="B13882" i="1"/>
  <c r="B13881" i="1"/>
  <c r="B13880" i="1"/>
  <c r="B13879" i="1"/>
  <c r="B13878" i="1"/>
  <c r="B13877" i="1"/>
  <c r="B13876" i="1"/>
  <c r="B13875" i="1"/>
  <c r="B13874" i="1"/>
  <c r="B13873" i="1"/>
  <c r="B13872" i="1"/>
  <c r="B13871" i="1"/>
  <c r="B13870" i="1"/>
  <c r="B13869" i="1"/>
  <c r="B13868" i="1"/>
  <c r="B13867" i="1"/>
  <c r="B13866" i="1"/>
  <c r="B13865" i="1"/>
  <c r="B13864" i="1"/>
  <c r="B13863" i="1"/>
  <c r="B13862" i="1"/>
  <c r="B13861" i="1"/>
  <c r="B13860" i="1"/>
  <c r="B13859" i="1"/>
  <c r="B13858" i="1"/>
  <c r="B13857" i="1"/>
  <c r="B13856" i="1"/>
  <c r="B13855" i="1"/>
  <c r="B13854" i="1"/>
  <c r="B13853" i="1"/>
  <c r="B13852" i="1"/>
  <c r="B13851" i="1"/>
  <c r="B13850" i="1"/>
  <c r="B13849" i="1"/>
  <c r="B13848" i="1"/>
  <c r="B13847" i="1"/>
  <c r="B13846" i="1"/>
  <c r="B13845" i="1"/>
  <c r="B13844" i="1"/>
  <c r="B13843" i="1"/>
  <c r="B13842" i="1"/>
  <c r="B13841" i="1"/>
  <c r="B13840" i="1"/>
  <c r="B13839" i="1"/>
  <c r="B13838" i="1"/>
  <c r="B13837" i="1"/>
  <c r="B13836" i="1"/>
  <c r="B13835" i="1"/>
  <c r="B13834" i="1"/>
  <c r="B13833" i="1"/>
  <c r="B13832" i="1"/>
  <c r="B13831" i="1"/>
  <c r="B13830" i="1"/>
  <c r="B13829" i="1"/>
  <c r="B13828" i="1"/>
  <c r="B13827" i="1"/>
  <c r="B13826" i="1"/>
  <c r="B13825" i="1"/>
  <c r="B13824" i="1"/>
  <c r="B13823" i="1"/>
  <c r="B13822" i="1"/>
  <c r="B13821" i="1"/>
  <c r="B13820" i="1"/>
  <c r="B13819" i="1"/>
  <c r="B13818" i="1"/>
  <c r="B13817" i="1"/>
  <c r="B13816" i="1"/>
  <c r="B13815" i="1"/>
  <c r="B13814" i="1"/>
  <c r="B13813" i="1"/>
  <c r="B13812" i="1"/>
  <c r="B13811" i="1"/>
  <c r="B13810" i="1"/>
  <c r="B13809" i="1"/>
  <c r="B13808" i="1"/>
  <c r="B13807" i="1"/>
  <c r="B13806" i="1"/>
  <c r="B13805" i="1"/>
  <c r="B13804" i="1"/>
  <c r="B13803" i="1"/>
  <c r="B13802" i="1"/>
  <c r="B13801" i="1"/>
  <c r="B13800" i="1"/>
  <c r="B13799" i="1"/>
  <c r="B13798" i="1"/>
  <c r="B13797" i="1"/>
  <c r="B13796" i="1"/>
  <c r="B13795" i="1"/>
  <c r="B13794" i="1"/>
  <c r="B13793" i="1"/>
  <c r="B13792" i="1"/>
  <c r="B13791" i="1"/>
  <c r="B13790" i="1"/>
  <c r="B13789" i="1"/>
  <c r="B13788" i="1"/>
  <c r="B13787" i="1"/>
  <c r="B13786" i="1"/>
  <c r="B13785" i="1"/>
  <c r="B13784" i="1"/>
  <c r="B13783" i="1"/>
  <c r="B13782" i="1"/>
  <c r="B13781" i="1"/>
  <c r="B13780" i="1"/>
  <c r="B13779" i="1"/>
  <c r="B13778" i="1"/>
  <c r="B13777" i="1"/>
  <c r="B13776" i="1"/>
  <c r="B13775" i="1"/>
  <c r="B13774" i="1"/>
  <c r="B13773" i="1"/>
  <c r="B13772" i="1"/>
  <c r="B13771" i="1"/>
  <c r="B13770" i="1"/>
  <c r="B13769" i="1"/>
  <c r="B13768" i="1"/>
  <c r="B13767" i="1"/>
  <c r="B13766" i="1"/>
  <c r="B13765" i="1"/>
  <c r="B13764" i="1"/>
  <c r="B13763" i="1"/>
  <c r="B13762" i="1"/>
  <c r="B13761" i="1"/>
  <c r="B13760" i="1"/>
  <c r="B13759" i="1"/>
  <c r="B13758" i="1"/>
  <c r="B13757" i="1"/>
  <c r="B13756" i="1"/>
  <c r="B13755" i="1"/>
  <c r="B13754" i="1"/>
  <c r="B13753" i="1"/>
  <c r="B13752" i="1"/>
  <c r="B13751" i="1"/>
  <c r="B13750" i="1"/>
  <c r="B13749" i="1"/>
  <c r="B13748" i="1"/>
  <c r="B13747" i="1"/>
  <c r="B13746" i="1"/>
  <c r="B13745" i="1"/>
  <c r="B13744" i="1"/>
  <c r="B13743" i="1"/>
  <c r="B13742" i="1"/>
  <c r="B13741" i="1"/>
  <c r="B13740" i="1"/>
  <c r="B13739" i="1"/>
  <c r="B13738" i="1"/>
  <c r="B13737" i="1"/>
  <c r="B13736" i="1"/>
  <c r="B13735" i="1"/>
  <c r="B13734" i="1"/>
  <c r="B13733" i="1"/>
  <c r="B13732" i="1"/>
  <c r="B13731" i="1"/>
  <c r="B13730" i="1"/>
  <c r="B13729" i="1"/>
  <c r="B13728" i="1"/>
  <c r="B13727" i="1"/>
  <c r="B13726" i="1"/>
  <c r="B13725" i="1"/>
  <c r="B13724" i="1"/>
  <c r="B13723" i="1"/>
  <c r="B13722" i="1"/>
  <c r="B13721" i="1"/>
  <c r="B13720" i="1"/>
  <c r="B13719" i="1"/>
  <c r="B13718" i="1"/>
  <c r="B13717" i="1"/>
  <c r="B13716" i="1"/>
  <c r="B13715" i="1"/>
  <c r="B13714" i="1"/>
  <c r="B13713" i="1"/>
  <c r="B13712" i="1"/>
  <c r="B13711" i="1"/>
  <c r="B13710" i="1"/>
  <c r="B13709" i="1"/>
  <c r="B13708" i="1"/>
  <c r="B13707" i="1"/>
  <c r="B13706" i="1"/>
  <c r="B13705" i="1"/>
  <c r="B13704" i="1"/>
  <c r="B13703" i="1"/>
  <c r="B13702" i="1"/>
  <c r="B13701" i="1"/>
  <c r="B13700" i="1"/>
  <c r="B13699" i="1"/>
  <c r="B13698" i="1"/>
  <c r="B13697" i="1"/>
  <c r="B13696" i="1"/>
  <c r="B13695" i="1"/>
  <c r="B13694" i="1"/>
  <c r="B13693" i="1"/>
  <c r="B13692" i="1"/>
  <c r="B13691" i="1"/>
  <c r="B13690" i="1"/>
  <c r="B13689" i="1"/>
  <c r="B13688" i="1"/>
  <c r="B13687" i="1"/>
  <c r="B13686" i="1"/>
  <c r="B13685" i="1"/>
  <c r="B13684" i="1"/>
  <c r="B13683" i="1"/>
  <c r="B13682" i="1"/>
  <c r="B13681" i="1"/>
  <c r="B13680" i="1"/>
  <c r="B13679" i="1"/>
  <c r="B13678" i="1"/>
  <c r="B13677" i="1"/>
  <c r="B13676" i="1"/>
  <c r="B13675" i="1"/>
  <c r="B13674" i="1"/>
  <c r="B13673" i="1"/>
  <c r="B13672" i="1"/>
  <c r="B13671" i="1"/>
  <c r="B13670" i="1"/>
  <c r="B13669" i="1"/>
  <c r="B13668" i="1"/>
  <c r="B13667" i="1"/>
  <c r="B13666" i="1"/>
  <c r="B13665" i="1"/>
  <c r="B13664" i="1"/>
  <c r="B13663" i="1"/>
  <c r="B13662" i="1"/>
  <c r="B13661" i="1"/>
  <c r="B13660" i="1"/>
  <c r="B13659" i="1"/>
  <c r="B13658" i="1"/>
  <c r="B13657" i="1"/>
  <c r="B13656" i="1"/>
  <c r="B13655" i="1"/>
  <c r="B13654" i="1"/>
  <c r="B13653" i="1"/>
  <c r="B13652" i="1"/>
  <c r="B13651" i="1"/>
  <c r="B13650" i="1"/>
  <c r="B13649" i="1"/>
  <c r="B13648" i="1"/>
  <c r="B13647" i="1"/>
  <c r="B13646" i="1"/>
  <c r="B13645" i="1"/>
  <c r="B13644" i="1"/>
  <c r="B13643" i="1"/>
  <c r="B13642" i="1"/>
  <c r="B13641" i="1"/>
  <c r="B13640" i="1"/>
  <c r="B13639" i="1"/>
  <c r="B13638" i="1"/>
  <c r="B13637" i="1"/>
  <c r="B13636" i="1"/>
  <c r="B13635" i="1"/>
  <c r="B13634" i="1"/>
  <c r="B13633" i="1"/>
  <c r="B13632" i="1"/>
  <c r="B13631" i="1"/>
  <c r="B13630" i="1"/>
  <c r="B13629" i="1"/>
  <c r="B13628" i="1"/>
  <c r="B13627" i="1"/>
  <c r="B13626" i="1"/>
  <c r="B13625" i="1"/>
  <c r="B13624" i="1"/>
  <c r="B13623" i="1"/>
  <c r="B13622" i="1"/>
  <c r="B13621" i="1"/>
  <c r="B13620" i="1"/>
  <c r="B13619" i="1"/>
  <c r="B13618" i="1"/>
  <c r="B13617" i="1"/>
  <c r="B13616" i="1"/>
  <c r="B13615" i="1"/>
  <c r="B13614" i="1"/>
  <c r="B13613" i="1"/>
  <c r="B13612" i="1"/>
  <c r="B13611" i="1"/>
  <c r="B13610" i="1"/>
  <c r="B13609" i="1"/>
  <c r="B13608" i="1"/>
  <c r="B13607" i="1"/>
  <c r="B13606" i="1"/>
  <c r="B13605" i="1"/>
  <c r="B13604" i="1"/>
  <c r="B13603" i="1"/>
  <c r="B13602" i="1"/>
  <c r="B13601" i="1"/>
  <c r="B13600" i="1"/>
  <c r="B13599" i="1"/>
  <c r="B13598" i="1"/>
  <c r="B13597" i="1"/>
  <c r="B13596" i="1"/>
  <c r="B13595" i="1"/>
  <c r="B13594" i="1"/>
  <c r="B13593" i="1"/>
  <c r="B13592" i="1"/>
  <c r="B13591" i="1"/>
  <c r="B13590" i="1"/>
  <c r="B13589" i="1"/>
  <c r="B13588" i="1"/>
  <c r="B13587" i="1"/>
  <c r="B13586" i="1"/>
  <c r="B13585" i="1"/>
  <c r="B13584" i="1"/>
  <c r="B13583" i="1"/>
  <c r="B13582" i="1"/>
  <c r="B13581" i="1"/>
  <c r="B13580" i="1"/>
  <c r="B13579" i="1"/>
  <c r="B13578" i="1"/>
  <c r="B13577" i="1"/>
  <c r="B13576" i="1"/>
  <c r="B13575" i="1"/>
  <c r="B13574" i="1"/>
  <c r="B13573" i="1"/>
  <c r="B13572" i="1"/>
  <c r="B13571" i="1"/>
  <c r="B13570" i="1"/>
  <c r="B13569" i="1"/>
  <c r="B13568" i="1"/>
  <c r="B13567" i="1"/>
  <c r="B13566" i="1"/>
  <c r="B13565" i="1"/>
  <c r="B13564" i="1"/>
  <c r="B13563" i="1"/>
  <c r="B13562" i="1"/>
  <c r="B13561" i="1"/>
  <c r="B13560" i="1"/>
  <c r="B13559" i="1"/>
  <c r="B13558" i="1"/>
  <c r="B13557" i="1"/>
  <c r="B13556" i="1"/>
  <c r="B13555" i="1"/>
  <c r="B13554" i="1"/>
  <c r="B13553" i="1"/>
  <c r="B13552" i="1"/>
  <c r="B13551" i="1"/>
  <c r="B13550" i="1"/>
  <c r="B13549" i="1"/>
  <c r="B13548" i="1"/>
  <c r="B13547" i="1"/>
  <c r="B13546" i="1"/>
  <c r="B13545" i="1"/>
  <c r="B13544" i="1"/>
  <c r="B13543" i="1"/>
  <c r="B13542" i="1"/>
  <c r="B13541" i="1"/>
  <c r="B13540" i="1"/>
  <c r="B13539" i="1"/>
  <c r="B13538" i="1"/>
  <c r="B13537" i="1"/>
  <c r="B13536" i="1"/>
  <c r="B13535" i="1"/>
  <c r="B13534" i="1"/>
  <c r="B13533" i="1"/>
  <c r="B13532" i="1"/>
  <c r="B13531" i="1"/>
  <c r="B13530" i="1"/>
  <c r="B13529" i="1"/>
  <c r="B13528" i="1"/>
  <c r="B13527" i="1"/>
  <c r="B13526" i="1"/>
  <c r="B13525" i="1"/>
  <c r="B13524" i="1"/>
  <c r="B13523" i="1"/>
  <c r="B13522" i="1"/>
  <c r="B13521" i="1"/>
  <c r="B13520" i="1"/>
  <c r="B13519" i="1"/>
  <c r="B13518" i="1"/>
  <c r="B13517" i="1"/>
  <c r="B13516" i="1"/>
  <c r="B13515" i="1"/>
  <c r="B13514" i="1"/>
  <c r="B13513" i="1"/>
  <c r="B13512" i="1"/>
  <c r="B13511" i="1"/>
  <c r="B13510" i="1"/>
  <c r="B13509" i="1"/>
  <c r="B13508" i="1"/>
  <c r="B13507" i="1"/>
  <c r="B13506" i="1"/>
  <c r="B13505" i="1"/>
  <c r="B13504" i="1"/>
  <c r="B13503" i="1"/>
  <c r="B13502" i="1"/>
  <c r="B13501" i="1"/>
  <c r="B13500" i="1"/>
  <c r="B13499" i="1"/>
  <c r="B13498" i="1"/>
  <c r="B13497" i="1"/>
  <c r="B13496" i="1"/>
  <c r="B13495" i="1"/>
  <c r="B13494" i="1"/>
  <c r="B13493" i="1"/>
  <c r="B13492" i="1"/>
  <c r="B13491" i="1"/>
  <c r="B13490" i="1"/>
  <c r="B13489" i="1"/>
  <c r="B13488" i="1"/>
  <c r="B13487" i="1"/>
  <c r="B13486" i="1"/>
  <c r="B13485" i="1"/>
  <c r="B13484" i="1"/>
  <c r="B13483" i="1"/>
  <c r="B13482" i="1"/>
  <c r="B13481" i="1"/>
  <c r="B13480" i="1"/>
  <c r="B13479" i="1"/>
  <c r="B13478" i="1"/>
  <c r="B13477" i="1"/>
  <c r="B13476" i="1"/>
  <c r="B13475" i="1"/>
  <c r="B13474" i="1"/>
  <c r="B13473" i="1"/>
  <c r="B13472" i="1"/>
  <c r="B13471" i="1"/>
  <c r="B13470" i="1"/>
  <c r="B13469" i="1"/>
  <c r="B13468" i="1"/>
  <c r="B13467" i="1"/>
  <c r="B13466" i="1"/>
  <c r="B13465" i="1"/>
  <c r="B13464" i="1"/>
  <c r="B13463" i="1"/>
  <c r="B13462" i="1"/>
  <c r="B13461" i="1"/>
  <c r="B13460" i="1"/>
  <c r="B13459" i="1"/>
  <c r="B13458" i="1"/>
  <c r="B13457" i="1"/>
  <c r="B13456" i="1"/>
  <c r="B13455" i="1"/>
  <c r="B13454" i="1"/>
  <c r="B13453" i="1"/>
  <c r="B13452" i="1"/>
  <c r="B13451" i="1"/>
  <c r="B13450" i="1"/>
  <c r="B13449" i="1"/>
  <c r="B13448" i="1"/>
  <c r="B13447" i="1"/>
  <c r="B13446" i="1"/>
  <c r="B13445" i="1"/>
  <c r="B13444" i="1"/>
  <c r="B13443" i="1"/>
  <c r="B13442" i="1"/>
  <c r="B13441" i="1"/>
  <c r="B13440" i="1"/>
  <c r="B13439" i="1"/>
  <c r="B13438" i="1"/>
  <c r="B13437" i="1"/>
  <c r="B13436" i="1"/>
  <c r="B13435" i="1"/>
  <c r="B13434" i="1"/>
  <c r="B13433" i="1"/>
  <c r="B13432" i="1"/>
  <c r="B13431" i="1"/>
  <c r="B13430" i="1"/>
  <c r="B13429" i="1"/>
  <c r="B13428" i="1"/>
  <c r="B13427" i="1"/>
  <c r="B13426" i="1"/>
  <c r="B13425" i="1"/>
  <c r="B13424" i="1"/>
  <c r="B13423" i="1"/>
  <c r="B13422" i="1"/>
  <c r="B13421" i="1"/>
  <c r="B13420" i="1"/>
  <c r="B13419" i="1"/>
  <c r="B13418" i="1"/>
  <c r="B13417" i="1"/>
  <c r="B13416" i="1"/>
  <c r="B13415" i="1"/>
  <c r="B13414" i="1"/>
  <c r="B13413" i="1"/>
  <c r="B13412" i="1"/>
  <c r="B13411" i="1"/>
  <c r="B13410" i="1"/>
  <c r="B13409" i="1"/>
  <c r="B13408" i="1"/>
  <c r="B13407" i="1"/>
  <c r="B13406" i="1"/>
  <c r="B13405" i="1"/>
  <c r="B13404" i="1"/>
  <c r="B13403" i="1"/>
  <c r="B13402" i="1"/>
  <c r="B13401" i="1"/>
  <c r="B13400" i="1"/>
  <c r="B13399" i="1"/>
  <c r="B13398" i="1"/>
  <c r="B13397" i="1"/>
  <c r="B13396" i="1"/>
  <c r="B13395" i="1"/>
  <c r="B13394" i="1"/>
  <c r="B13393" i="1"/>
  <c r="B13392" i="1"/>
  <c r="B13391" i="1"/>
  <c r="B13390" i="1"/>
  <c r="B13389" i="1"/>
  <c r="B13388" i="1"/>
  <c r="B13387" i="1"/>
  <c r="B13386" i="1"/>
  <c r="B13385" i="1"/>
  <c r="B13384" i="1"/>
  <c r="B13383" i="1"/>
  <c r="B13382" i="1"/>
  <c r="B13381" i="1"/>
  <c r="B13380" i="1"/>
  <c r="B13379" i="1"/>
  <c r="B13378" i="1"/>
  <c r="B13377" i="1"/>
  <c r="B13376" i="1"/>
  <c r="B13375" i="1"/>
  <c r="B13374" i="1"/>
  <c r="B13373" i="1"/>
  <c r="B13372" i="1"/>
  <c r="B13371" i="1"/>
  <c r="B13370" i="1"/>
  <c r="B13369" i="1"/>
  <c r="B13368" i="1"/>
  <c r="B13367" i="1"/>
  <c r="B13366" i="1"/>
  <c r="B13365" i="1"/>
  <c r="B13364" i="1"/>
  <c r="B13363" i="1"/>
  <c r="B13362" i="1"/>
  <c r="B13361" i="1"/>
  <c r="B13360" i="1"/>
  <c r="B13359" i="1"/>
  <c r="B13358" i="1"/>
  <c r="B13357" i="1"/>
  <c r="B13356" i="1"/>
  <c r="B13355" i="1"/>
  <c r="B13354" i="1"/>
  <c r="B13353" i="1"/>
  <c r="B13352" i="1"/>
  <c r="B13351" i="1"/>
  <c r="B13350" i="1"/>
  <c r="B13349" i="1"/>
  <c r="B13348" i="1"/>
  <c r="B13347" i="1"/>
  <c r="B13346" i="1"/>
  <c r="B13345" i="1"/>
  <c r="B13344" i="1"/>
  <c r="B13343" i="1"/>
  <c r="B13342" i="1"/>
  <c r="B13341" i="1"/>
  <c r="B13340" i="1"/>
  <c r="B13339" i="1"/>
  <c r="B13338" i="1"/>
  <c r="B13337" i="1"/>
  <c r="B13336" i="1"/>
  <c r="B13335" i="1"/>
  <c r="B13334" i="1"/>
  <c r="B13333" i="1"/>
  <c r="B13332" i="1"/>
  <c r="B13331" i="1"/>
  <c r="B13330" i="1"/>
  <c r="B13329" i="1"/>
  <c r="B13328" i="1"/>
  <c r="B13327" i="1"/>
  <c r="B13326" i="1"/>
  <c r="B13325" i="1"/>
  <c r="B13324" i="1"/>
  <c r="B13323" i="1"/>
  <c r="B13322" i="1"/>
  <c r="B13321" i="1"/>
  <c r="B13320" i="1"/>
  <c r="B13319" i="1"/>
  <c r="B13318" i="1"/>
  <c r="B13317" i="1"/>
  <c r="B13316" i="1"/>
  <c r="B13315" i="1"/>
  <c r="B13314" i="1"/>
  <c r="B13313" i="1"/>
  <c r="B13312" i="1"/>
  <c r="B13311" i="1"/>
  <c r="B13310" i="1"/>
  <c r="B13309" i="1"/>
  <c r="B13308" i="1"/>
  <c r="B13307" i="1"/>
  <c r="B13306" i="1"/>
  <c r="B13305" i="1"/>
  <c r="B13304" i="1"/>
  <c r="B13303" i="1"/>
  <c r="B13302" i="1"/>
  <c r="B13301" i="1"/>
  <c r="B13300" i="1"/>
  <c r="B13299" i="1"/>
  <c r="B13298" i="1"/>
  <c r="B13297" i="1"/>
  <c r="B13296" i="1"/>
  <c r="B13295" i="1"/>
  <c r="B13294" i="1"/>
  <c r="B13293" i="1"/>
  <c r="B13292" i="1"/>
  <c r="B13291" i="1"/>
  <c r="B13290" i="1"/>
  <c r="B13289" i="1"/>
  <c r="B13288" i="1"/>
  <c r="B13287" i="1"/>
  <c r="B13286" i="1"/>
  <c r="B13285" i="1"/>
  <c r="B13284" i="1"/>
  <c r="B13283" i="1"/>
  <c r="B13282" i="1"/>
  <c r="B13281" i="1"/>
  <c r="B13280" i="1"/>
  <c r="B13279" i="1"/>
  <c r="B13278" i="1"/>
  <c r="B13277" i="1"/>
  <c r="B13276" i="1"/>
  <c r="B13275" i="1"/>
  <c r="B13274" i="1"/>
  <c r="B13273" i="1"/>
  <c r="B13272" i="1"/>
  <c r="B13271" i="1"/>
  <c r="B13270" i="1"/>
  <c r="B13269" i="1"/>
  <c r="B13268" i="1"/>
  <c r="B13267" i="1"/>
  <c r="B13266" i="1"/>
  <c r="B13265" i="1"/>
  <c r="B13264" i="1"/>
  <c r="B13263" i="1"/>
  <c r="B13262" i="1"/>
  <c r="B13261" i="1"/>
  <c r="B13260" i="1"/>
  <c r="B13259" i="1"/>
  <c r="B13258" i="1"/>
  <c r="B13257" i="1"/>
  <c r="B13256" i="1"/>
  <c r="B13255" i="1"/>
  <c r="B13254" i="1"/>
  <c r="B13253" i="1"/>
  <c r="B13252" i="1"/>
  <c r="B13251" i="1"/>
  <c r="B13250" i="1"/>
  <c r="B13249" i="1"/>
  <c r="B13248" i="1"/>
  <c r="B13247" i="1"/>
  <c r="B13246" i="1"/>
  <c r="B13245" i="1"/>
  <c r="B13244" i="1"/>
  <c r="B13243" i="1"/>
  <c r="B13242" i="1"/>
  <c r="B13241" i="1"/>
  <c r="B13240" i="1"/>
  <c r="B13239" i="1"/>
  <c r="B13238" i="1"/>
  <c r="B13237" i="1"/>
  <c r="B13236" i="1"/>
  <c r="B13235" i="1"/>
  <c r="B13234" i="1"/>
  <c r="B13233" i="1"/>
  <c r="B13232" i="1"/>
  <c r="B13231" i="1"/>
  <c r="B13230" i="1"/>
  <c r="B13229" i="1"/>
  <c r="B13228" i="1"/>
  <c r="B13227" i="1"/>
  <c r="B13226" i="1"/>
  <c r="B13225" i="1"/>
  <c r="B13224" i="1"/>
  <c r="B13223" i="1"/>
  <c r="B13222" i="1"/>
  <c r="B13221" i="1"/>
  <c r="B13220" i="1"/>
  <c r="B13219" i="1"/>
  <c r="B13218" i="1"/>
  <c r="B13217" i="1"/>
  <c r="B13216" i="1"/>
  <c r="B13215" i="1"/>
  <c r="B13214" i="1"/>
  <c r="B13213" i="1"/>
  <c r="B13212" i="1"/>
  <c r="B13211" i="1"/>
  <c r="B13210" i="1"/>
  <c r="B13209" i="1"/>
  <c r="B13208" i="1"/>
  <c r="B13207" i="1"/>
  <c r="B13206" i="1"/>
  <c r="B13205" i="1"/>
  <c r="B13204" i="1"/>
  <c r="B13203" i="1"/>
  <c r="B13202" i="1"/>
  <c r="B13201" i="1"/>
  <c r="B13200" i="1"/>
  <c r="B13199" i="1"/>
  <c r="B13198" i="1"/>
  <c r="B13197" i="1"/>
  <c r="B13196" i="1"/>
  <c r="B13195" i="1"/>
  <c r="B13194" i="1"/>
  <c r="B13193" i="1"/>
  <c r="B13192" i="1"/>
  <c r="B13191" i="1"/>
  <c r="B13190" i="1"/>
  <c r="B13189" i="1"/>
  <c r="B13188" i="1"/>
  <c r="B13187" i="1"/>
  <c r="B13186" i="1"/>
  <c r="B13185" i="1"/>
  <c r="B13184" i="1"/>
  <c r="B13183" i="1"/>
  <c r="B13182" i="1"/>
  <c r="B13181" i="1"/>
  <c r="B13180" i="1"/>
  <c r="B13179" i="1"/>
  <c r="B13178" i="1"/>
  <c r="B13177" i="1"/>
  <c r="B13176" i="1"/>
  <c r="B13175" i="1"/>
  <c r="B13174" i="1"/>
  <c r="B13173" i="1"/>
  <c r="B13172" i="1"/>
  <c r="B13171" i="1"/>
  <c r="B13170" i="1"/>
  <c r="B13169" i="1"/>
  <c r="B13168" i="1"/>
  <c r="B13167" i="1"/>
  <c r="B13166" i="1"/>
  <c r="B13165" i="1"/>
  <c r="B13164" i="1"/>
  <c r="B13163" i="1"/>
  <c r="B13162" i="1"/>
  <c r="B13161" i="1"/>
  <c r="B13160" i="1"/>
  <c r="B13159" i="1"/>
  <c r="B13158" i="1"/>
  <c r="B13157" i="1"/>
  <c r="B13156" i="1"/>
  <c r="B13155" i="1"/>
  <c r="B13154" i="1"/>
  <c r="B13153" i="1"/>
  <c r="B13152" i="1"/>
  <c r="B13151" i="1"/>
  <c r="B13150" i="1"/>
  <c r="B13149" i="1"/>
  <c r="B13148" i="1"/>
  <c r="B13147" i="1"/>
  <c r="B13146" i="1"/>
  <c r="B13145" i="1"/>
  <c r="B13144" i="1"/>
  <c r="B13143" i="1"/>
  <c r="B13142" i="1"/>
  <c r="B13141" i="1"/>
  <c r="B13140" i="1"/>
  <c r="B13139" i="1"/>
  <c r="B13138" i="1"/>
  <c r="B13137" i="1"/>
  <c r="B13136" i="1"/>
  <c r="B13135" i="1"/>
  <c r="B13134" i="1"/>
  <c r="B13133" i="1"/>
  <c r="B13132" i="1"/>
  <c r="B13131" i="1"/>
  <c r="B13130" i="1"/>
  <c r="B13129" i="1"/>
  <c r="B13128" i="1"/>
  <c r="B13127" i="1"/>
  <c r="B13126" i="1"/>
  <c r="B13125" i="1"/>
  <c r="B13124" i="1"/>
  <c r="B13123" i="1"/>
  <c r="B13122" i="1"/>
  <c r="B13121" i="1"/>
  <c r="B13120" i="1"/>
  <c r="B13119" i="1"/>
  <c r="B13118" i="1"/>
  <c r="B13117" i="1"/>
  <c r="B13116" i="1"/>
  <c r="B13115" i="1"/>
  <c r="B13114" i="1"/>
  <c r="B13113" i="1"/>
  <c r="B13112" i="1"/>
  <c r="B13111" i="1"/>
  <c r="B13110" i="1"/>
  <c r="B13109" i="1"/>
  <c r="B13108" i="1"/>
  <c r="B13107" i="1"/>
  <c r="B13106" i="1"/>
  <c r="B13105" i="1"/>
  <c r="B13104" i="1"/>
  <c r="B13103" i="1"/>
  <c r="B13102" i="1"/>
  <c r="B13101" i="1"/>
  <c r="B13100" i="1"/>
  <c r="B13099" i="1"/>
  <c r="B13098" i="1"/>
  <c r="B13097" i="1"/>
  <c r="B13096" i="1"/>
  <c r="B13095" i="1"/>
  <c r="B13094" i="1"/>
  <c r="B13093" i="1"/>
  <c r="B13092" i="1"/>
  <c r="B13091" i="1"/>
  <c r="B13090" i="1"/>
  <c r="B13089" i="1"/>
  <c r="B13088" i="1"/>
  <c r="B13087" i="1"/>
  <c r="B13086" i="1"/>
  <c r="B13085" i="1"/>
  <c r="B13084" i="1"/>
  <c r="B13083" i="1"/>
  <c r="B13082" i="1"/>
  <c r="B13081" i="1"/>
  <c r="B13080" i="1"/>
  <c r="B13079" i="1"/>
  <c r="B13078" i="1"/>
  <c r="B13077" i="1"/>
  <c r="B13076" i="1"/>
  <c r="B13075" i="1"/>
  <c r="B13074" i="1"/>
  <c r="B13073" i="1"/>
  <c r="B13072" i="1"/>
  <c r="B13071" i="1"/>
  <c r="B13070" i="1"/>
  <c r="B13069" i="1"/>
  <c r="B13068" i="1"/>
  <c r="B13067" i="1"/>
  <c r="B13066" i="1"/>
  <c r="B13065" i="1"/>
  <c r="B13064" i="1"/>
  <c r="B13063" i="1"/>
  <c r="B13062" i="1"/>
  <c r="B13061" i="1"/>
  <c r="B13060" i="1"/>
  <c r="B13059" i="1"/>
  <c r="B13058" i="1"/>
  <c r="B13057" i="1"/>
  <c r="B13056" i="1"/>
  <c r="B13055" i="1"/>
  <c r="B13054" i="1"/>
  <c r="B13053" i="1"/>
  <c r="B13052" i="1"/>
  <c r="B13051" i="1"/>
  <c r="B13050" i="1"/>
  <c r="B13049" i="1"/>
  <c r="B13048" i="1"/>
  <c r="B13047" i="1"/>
  <c r="B13046" i="1"/>
  <c r="B13045" i="1"/>
  <c r="B13044" i="1"/>
  <c r="B13043" i="1"/>
  <c r="B13042" i="1"/>
  <c r="B13041" i="1"/>
  <c r="B13040" i="1"/>
  <c r="B13039" i="1"/>
  <c r="B13038" i="1"/>
  <c r="B13037" i="1"/>
  <c r="B13036" i="1"/>
  <c r="B13035" i="1"/>
  <c r="B13034" i="1"/>
  <c r="B13033" i="1"/>
  <c r="B13032" i="1"/>
  <c r="B13031" i="1"/>
  <c r="B13030" i="1"/>
  <c r="B13029" i="1"/>
  <c r="B13028" i="1"/>
  <c r="B13027" i="1"/>
  <c r="B13026" i="1"/>
  <c r="B13025" i="1"/>
  <c r="B13024" i="1"/>
  <c r="B13023" i="1"/>
  <c r="B13022" i="1"/>
  <c r="B13021" i="1"/>
  <c r="B13020" i="1"/>
  <c r="B13019" i="1"/>
  <c r="B13018" i="1"/>
  <c r="B13017" i="1"/>
  <c r="B13016" i="1"/>
  <c r="B13015" i="1"/>
  <c r="B13014" i="1"/>
  <c r="B13013" i="1"/>
  <c r="B13012" i="1"/>
  <c r="B13011" i="1"/>
  <c r="B13010" i="1"/>
  <c r="B13009" i="1"/>
  <c r="B13008" i="1"/>
  <c r="B13007" i="1"/>
  <c r="B13006" i="1"/>
  <c r="B13005" i="1"/>
  <c r="B13004" i="1"/>
  <c r="B13003" i="1"/>
  <c r="B13002" i="1"/>
  <c r="B13001" i="1"/>
  <c r="B13000" i="1"/>
  <c r="B12999" i="1"/>
  <c r="B12998" i="1"/>
  <c r="B12997" i="1"/>
  <c r="B12996" i="1"/>
  <c r="B12995" i="1"/>
  <c r="B12994" i="1"/>
  <c r="B12993" i="1"/>
  <c r="B12992" i="1"/>
  <c r="B12991" i="1"/>
  <c r="B12990" i="1"/>
  <c r="B12989" i="1"/>
  <c r="B12988" i="1"/>
  <c r="B12987" i="1"/>
  <c r="B12986" i="1"/>
  <c r="B12985" i="1"/>
  <c r="B12984" i="1"/>
  <c r="B12983" i="1"/>
  <c r="B12982" i="1"/>
  <c r="B12981" i="1"/>
  <c r="B12980" i="1"/>
  <c r="B12979" i="1"/>
  <c r="B12978" i="1"/>
  <c r="B12977" i="1"/>
  <c r="B12976" i="1"/>
  <c r="B12975" i="1"/>
  <c r="B12974" i="1"/>
  <c r="B12973" i="1"/>
  <c r="B12972" i="1"/>
  <c r="B12971" i="1"/>
  <c r="B12970" i="1"/>
  <c r="B12969" i="1"/>
  <c r="B12968" i="1"/>
  <c r="B12967" i="1"/>
  <c r="B12966" i="1"/>
  <c r="B12965" i="1"/>
  <c r="B12964" i="1"/>
  <c r="B12963" i="1"/>
  <c r="B12962" i="1"/>
  <c r="B12961" i="1"/>
  <c r="B12960" i="1"/>
  <c r="B12959" i="1"/>
  <c r="B12958" i="1"/>
  <c r="B12957" i="1"/>
  <c r="B12956" i="1"/>
  <c r="B12955" i="1"/>
  <c r="B12954" i="1"/>
  <c r="B12953" i="1"/>
  <c r="B12952" i="1"/>
  <c r="B12951" i="1"/>
  <c r="B12950" i="1"/>
  <c r="B12949" i="1"/>
  <c r="B12948" i="1"/>
  <c r="B12947" i="1"/>
  <c r="B12946" i="1"/>
  <c r="B12945" i="1"/>
  <c r="B12944" i="1"/>
  <c r="B12943" i="1"/>
  <c r="B12942" i="1"/>
  <c r="B12941" i="1"/>
  <c r="B12940" i="1"/>
  <c r="B12939" i="1"/>
  <c r="B12938" i="1"/>
  <c r="B12937" i="1"/>
  <c r="B12936" i="1"/>
  <c r="B12935" i="1"/>
  <c r="B12934" i="1"/>
  <c r="B12933" i="1"/>
  <c r="B12932" i="1"/>
  <c r="B12931" i="1"/>
  <c r="B12930" i="1"/>
  <c r="B12929" i="1"/>
  <c r="B12928" i="1"/>
  <c r="B12927" i="1"/>
  <c r="B12926" i="1"/>
  <c r="B12925" i="1"/>
  <c r="B12924" i="1"/>
  <c r="B12923" i="1"/>
  <c r="B12922" i="1"/>
  <c r="B12921" i="1"/>
  <c r="B12920" i="1"/>
  <c r="B12919" i="1"/>
  <c r="B12918" i="1"/>
  <c r="B12917" i="1"/>
  <c r="B12916" i="1"/>
  <c r="B12915" i="1"/>
  <c r="B12914" i="1"/>
  <c r="B12913" i="1"/>
  <c r="B12912" i="1"/>
  <c r="B12911" i="1"/>
  <c r="B12910" i="1"/>
  <c r="B12909" i="1"/>
  <c r="B12908" i="1"/>
  <c r="B12907" i="1"/>
  <c r="B12906" i="1"/>
  <c r="B12905" i="1"/>
  <c r="B12904" i="1"/>
  <c r="B12903" i="1"/>
  <c r="B12902" i="1"/>
  <c r="B12901" i="1"/>
  <c r="B12900" i="1"/>
  <c r="B12899" i="1"/>
  <c r="B12898" i="1"/>
  <c r="B12897" i="1"/>
  <c r="B12896" i="1"/>
  <c r="B12895" i="1"/>
  <c r="B12894" i="1"/>
  <c r="B12893" i="1"/>
  <c r="B12892" i="1"/>
  <c r="B12891" i="1"/>
  <c r="B12890" i="1"/>
  <c r="B12889" i="1"/>
  <c r="B12888" i="1"/>
  <c r="B12887" i="1"/>
  <c r="B12886" i="1"/>
  <c r="B12885" i="1"/>
  <c r="B12884" i="1"/>
  <c r="B12883" i="1"/>
  <c r="B12882" i="1"/>
  <c r="B12881" i="1"/>
  <c r="B12880" i="1"/>
  <c r="B12879" i="1"/>
  <c r="B12878" i="1"/>
  <c r="B12877" i="1"/>
  <c r="B12876" i="1"/>
  <c r="B12875" i="1"/>
  <c r="B12874" i="1"/>
  <c r="B12873" i="1"/>
  <c r="B12872" i="1"/>
  <c r="B12871" i="1"/>
  <c r="B12870" i="1"/>
  <c r="B12869" i="1"/>
  <c r="B12868" i="1"/>
  <c r="B12867" i="1"/>
  <c r="B12866" i="1"/>
  <c r="B12865" i="1"/>
  <c r="B12864" i="1"/>
  <c r="B12863" i="1"/>
  <c r="B12862" i="1"/>
  <c r="B12861" i="1"/>
  <c r="B12860" i="1"/>
  <c r="B12859" i="1"/>
  <c r="B12858" i="1"/>
  <c r="B12857" i="1"/>
  <c r="B12856" i="1"/>
  <c r="B12855" i="1"/>
  <c r="B12854" i="1"/>
  <c r="B12853" i="1"/>
  <c r="B12852" i="1"/>
  <c r="B12851" i="1"/>
  <c r="B12850" i="1"/>
  <c r="B12849" i="1"/>
  <c r="B12848" i="1"/>
  <c r="B12847" i="1"/>
  <c r="B12846" i="1"/>
  <c r="B12845" i="1"/>
  <c r="B12844" i="1"/>
  <c r="B12843" i="1"/>
  <c r="B12842" i="1"/>
  <c r="B12841" i="1"/>
  <c r="B12840" i="1"/>
  <c r="B12839" i="1"/>
  <c r="B12838" i="1"/>
  <c r="B12837" i="1"/>
  <c r="B12836" i="1"/>
  <c r="B12835" i="1"/>
  <c r="B12834" i="1"/>
  <c r="B12833" i="1"/>
  <c r="B12832" i="1"/>
  <c r="B12831" i="1"/>
  <c r="B12830" i="1"/>
  <c r="B12829" i="1"/>
  <c r="B12828" i="1"/>
  <c r="B12827" i="1"/>
  <c r="B12826" i="1"/>
  <c r="B12825" i="1"/>
  <c r="B12824" i="1"/>
  <c r="B12823" i="1"/>
  <c r="B12822" i="1"/>
  <c r="B12821" i="1"/>
  <c r="B12820" i="1"/>
  <c r="B12819" i="1"/>
  <c r="B12818" i="1"/>
  <c r="B12817" i="1"/>
  <c r="B12816" i="1"/>
  <c r="B12815" i="1"/>
  <c r="B12814" i="1"/>
  <c r="B12813" i="1"/>
  <c r="B12812" i="1"/>
  <c r="B12811" i="1"/>
  <c r="B12810" i="1"/>
  <c r="B12809" i="1"/>
  <c r="B12808" i="1"/>
  <c r="B12807" i="1"/>
  <c r="B12806" i="1"/>
  <c r="B12805" i="1"/>
  <c r="B12804" i="1"/>
  <c r="B12803" i="1"/>
  <c r="B12802" i="1"/>
  <c r="B12801" i="1"/>
  <c r="B12800" i="1"/>
  <c r="B12799" i="1"/>
  <c r="B12798" i="1"/>
  <c r="B12797" i="1"/>
  <c r="B12796" i="1"/>
  <c r="B12795" i="1"/>
  <c r="B12794" i="1"/>
  <c r="B12793" i="1"/>
  <c r="B12792" i="1"/>
  <c r="B12791" i="1"/>
  <c r="B12790" i="1"/>
  <c r="B12789" i="1"/>
  <c r="B12788" i="1"/>
  <c r="B12787" i="1"/>
  <c r="B12786" i="1"/>
  <c r="B12785" i="1"/>
  <c r="B12784" i="1"/>
  <c r="B12783" i="1"/>
  <c r="B12782" i="1"/>
  <c r="B12781" i="1"/>
  <c r="B12780" i="1"/>
  <c r="B12779" i="1"/>
  <c r="B12778" i="1"/>
  <c r="B12777" i="1"/>
  <c r="B12776" i="1"/>
  <c r="B12775" i="1"/>
  <c r="B12774" i="1"/>
  <c r="B12773" i="1"/>
  <c r="B12772" i="1"/>
  <c r="B12771" i="1"/>
  <c r="B12770" i="1"/>
  <c r="B12769" i="1"/>
  <c r="B12768" i="1"/>
  <c r="B12767" i="1"/>
  <c r="B12766" i="1"/>
  <c r="B12765" i="1"/>
  <c r="B12764" i="1"/>
  <c r="B12763" i="1"/>
  <c r="B12762" i="1"/>
  <c r="B12761" i="1"/>
  <c r="B12760" i="1"/>
  <c r="B12759" i="1"/>
  <c r="B12758" i="1"/>
  <c r="B12757" i="1"/>
  <c r="B12756" i="1"/>
  <c r="B12755" i="1"/>
  <c r="B12754" i="1"/>
  <c r="B12753" i="1"/>
  <c r="B12752" i="1"/>
  <c r="B12751" i="1"/>
  <c r="B12750" i="1"/>
  <c r="B12749" i="1"/>
  <c r="B12748" i="1"/>
  <c r="B12747" i="1"/>
  <c r="B12746" i="1"/>
  <c r="B12745" i="1"/>
  <c r="B12744" i="1"/>
  <c r="B12743" i="1"/>
  <c r="B12742" i="1"/>
  <c r="B12741" i="1"/>
  <c r="B12740" i="1"/>
  <c r="B12739" i="1"/>
  <c r="B12738" i="1"/>
  <c r="B12737" i="1"/>
  <c r="B12736" i="1"/>
  <c r="B12735" i="1"/>
  <c r="B12734" i="1"/>
  <c r="B12733" i="1"/>
  <c r="B12732" i="1"/>
  <c r="B12731" i="1"/>
  <c r="B12730" i="1"/>
  <c r="B12729" i="1"/>
  <c r="B12728" i="1"/>
  <c r="B12727" i="1"/>
  <c r="B12726" i="1"/>
  <c r="B12725" i="1"/>
  <c r="B12724" i="1"/>
  <c r="B12723" i="1"/>
  <c r="B12722" i="1"/>
  <c r="B12721" i="1"/>
  <c r="B12720" i="1"/>
  <c r="B12719" i="1"/>
  <c r="B12718" i="1"/>
  <c r="B12717" i="1"/>
  <c r="B12716" i="1"/>
  <c r="B12715" i="1"/>
  <c r="B12714" i="1"/>
  <c r="B12713" i="1"/>
  <c r="B12712" i="1"/>
  <c r="B12711" i="1"/>
  <c r="B12710" i="1"/>
  <c r="B12709" i="1"/>
  <c r="B12708" i="1"/>
  <c r="B12707" i="1"/>
  <c r="B12706" i="1"/>
  <c r="B12705" i="1"/>
  <c r="B12704" i="1"/>
  <c r="B12703" i="1"/>
  <c r="B12702" i="1"/>
  <c r="B12701" i="1"/>
  <c r="B12700" i="1"/>
  <c r="B12699" i="1"/>
  <c r="B12698" i="1"/>
  <c r="B12697" i="1"/>
  <c r="B12696" i="1"/>
  <c r="B12695" i="1"/>
  <c r="B12694" i="1"/>
  <c r="B12693" i="1"/>
  <c r="B12692" i="1"/>
  <c r="B12691" i="1"/>
  <c r="B12690" i="1"/>
  <c r="B12689" i="1"/>
  <c r="B12688" i="1"/>
  <c r="B12687" i="1"/>
  <c r="B12686" i="1"/>
  <c r="B12685" i="1"/>
  <c r="B12684" i="1"/>
  <c r="B12683" i="1"/>
  <c r="B12682" i="1"/>
  <c r="B12681" i="1"/>
  <c r="B12680" i="1"/>
  <c r="B12679" i="1"/>
  <c r="B12678" i="1"/>
  <c r="B12677" i="1"/>
  <c r="B12676" i="1"/>
  <c r="B12675" i="1"/>
  <c r="B12674" i="1"/>
  <c r="B12673" i="1"/>
  <c r="B12672" i="1"/>
  <c r="B12671" i="1"/>
  <c r="B12670" i="1"/>
  <c r="B12669" i="1"/>
  <c r="B12668" i="1"/>
  <c r="B12667" i="1"/>
  <c r="B12666" i="1"/>
  <c r="B12665" i="1"/>
  <c r="B12664" i="1"/>
  <c r="B12663" i="1"/>
  <c r="B12662" i="1"/>
  <c r="B12661" i="1"/>
  <c r="B12660" i="1"/>
  <c r="B12659" i="1"/>
  <c r="B12658" i="1"/>
  <c r="B12657" i="1"/>
  <c r="B12656" i="1"/>
  <c r="B12655" i="1"/>
  <c r="B12654" i="1"/>
  <c r="B12653" i="1"/>
  <c r="B12652" i="1"/>
  <c r="B12651" i="1"/>
  <c r="B12650" i="1"/>
  <c r="B12649" i="1"/>
  <c r="B12648" i="1"/>
  <c r="B12647" i="1"/>
  <c r="B12646" i="1"/>
  <c r="B12645" i="1"/>
  <c r="B12644" i="1"/>
  <c r="B12643" i="1"/>
  <c r="B12642" i="1"/>
  <c r="B12641" i="1"/>
  <c r="B12640" i="1"/>
  <c r="B12639" i="1"/>
  <c r="B12638" i="1"/>
  <c r="B12637" i="1"/>
  <c r="B12636" i="1"/>
  <c r="B12635" i="1"/>
  <c r="B12634" i="1"/>
  <c r="B12633" i="1"/>
  <c r="B12632" i="1"/>
  <c r="B12631" i="1"/>
  <c r="B12630" i="1"/>
  <c r="B12629" i="1"/>
  <c r="B12628" i="1"/>
  <c r="B12627" i="1"/>
  <c r="B12626" i="1"/>
  <c r="B12625" i="1"/>
  <c r="B12624" i="1"/>
  <c r="B12623" i="1"/>
  <c r="B12622" i="1"/>
  <c r="B12621" i="1"/>
  <c r="B12620" i="1"/>
  <c r="B12619" i="1"/>
  <c r="B12618" i="1"/>
  <c r="B12617" i="1"/>
  <c r="B12616" i="1"/>
  <c r="B12615" i="1"/>
  <c r="B12614" i="1"/>
  <c r="B12613" i="1"/>
  <c r="B12612" i="1"/>
  <c r="B12611" i="1"/>
  <c r="B12610" i="1"/>
  <c r="B12609" i="1"/>
  <c r="B12608" i="1"/>
  <c r="B12607" i="1"/>
  <c r="B12606" i="1"/>
  <c r="B12605" i="1"/>
  <c r="B12604" i="1"/>
  <c r="B12603" i="1"/>
  <c r="B12602" i="1"/>
  <c r="B12601" i="1"/>
  <c r="B12600" i="1"/>
  <c r="B12599" i="1"/>
  <c r="B12598" i="1"/>
  <c r="B12597" i="1"/>
  <c r="B12596" i="1"/>
  <c r="B12595" i="1"/>
  <c r="B12594" i="1"/>
  <c r="B12593" i="1"/>
  <c r="B12592" i="1"/>
  <c r="B12591" i="1"/>
  <c r="B12590" i="1"/>
  <c r="B12589" i="1"/>
  <c r="B12588" i="1"/>
  <c r="B12587" i="1"/>
  <c r="B12586" i="1"/>
  <c r="B12585" i="1"/>
  <c r="B12584" i="1"/>
  <c r="B12583" i="1"/>
  <c r="B12582" i="1"/>
  <c r="B12581" i="1"/>
  <c r="B12580" i="1"/>
  <c r="B12579" i="1"/>
  <c r="B12578" i="1"/>
  <c r="B12577" i="1"/>
  <c r="B12576" i="1"/>
  <c r="B12575" i="1"/>
  <c r="B12574" i="1"/>
  <c r="B12573" i="1"/>
  <c r="B12572" i="1"/>
  <c r="B12571" i="1"/>
  <c r="B12570" i="1"/>
  <c r="B12569" i="1"/>
  <c r="B12568" i="1"/>
  <c r="B12567" i="1"/>
  <c r="B12566" i="1"/>
  <c r="B12565" i="1"/>
  <c r="B12564" i="1"/>
  <c r="B12563" i="1"/>
  <c r="B12562" i="1"/>
  <c r="B12561" i="1"/>
  <c r="B12560" i="1"/>
  <c r="B12559" i="1"/>
  <c r="B12558" i="1"/>
  <c r="B12557" i="1"/>
  <c r="B12556" i="1"/>
  <c r="B12555" i="1"/>
  <c r="B12554" i="1"/>
  <c r="B12553" i="1"/>
  <c r="B12552" i="1"/>
  <c r="B12551" i="1"/>
  <c r="B12550" i="1"/>
  <c r="B12549" i="1"/>
  <c r="B12548" i="1"/>
  <c r="B12547" i="1"/>
  <c r="B12546" i="1"/>
  <c r="B12545" i="1"/>
  <c r="B12544" i="1"/>
  <c r="B12543" i="1"/>
  <c r="B12542" i="1"/>
  <c r="B12541" i="1"/>
  <c r="B12540" i="1"/>
  <c r="B12539" i="1"/>
  <c r="B12538" i="1"/>
  <c r="B12537" i="1"/>
  <c r="B12536" i="1"/>
  <c r="B12535" i="1"/>
  <c r="B12534" i="1"/>
  <c r="B12533" i="1"/>
  <c r="B12532" i="1"/>
  <c r="B12531" i="1"/>
  <c r="B12530" i="1"/>
  <c r="B12529" i="1"/>
  <c r="B12528" i="1"/>
  <c r="B12527" i="1"/>
  <c r="B12526" i="1"/>
  <c r="B12525" i="1"/>
  <c r="B12524" i="1"/>
  <c r="B12523" i="1"/>
  <c r="B12522" i="1"/>
  <c r="B12521" i="1"/>
  <c r="B12520" i="1"/>
  <c r="B12519" i="1"/>
  <c r="B12518" i="1"/>
  <c r="B12517" i="1"/>
  <c r="B12516" i="1"/>
  <c r="B12515" i="1"/>
  <c r="B12514" i="1"/>
  <c r="B12513" i="1"/>
  <c r="B12512" i="1"/>
  <c r="B12511" i="1"/>
  <c r="B12510" i="1"/>
  <c r="B12509" i="1"/>
  <c r="B12508" i="1"/>
  <c r="B12507" i="1"/>
  <c r="B12506" i="1"/>
  <c r="B12505" i="1"/>
  <c r="B12504" i="1"/>
  <c r="B12503" i="1"/>
  <c r="B12502" i="1"/>
  <c r="B12501" i="1"/>
  <c r="B12500" i="1"/>
  <c r="B12499" i="1"/>
  <c r="B12498" i="1"/>
  <c r="B12497" i="1"/>
  <c r="B12496" i="1"/>
  <c r="B12495" i="1"/>
  <c r="B12494" i="1"/>
  <c r="B12493" i="1"/>
  <c r="B12492" i="1"/>
  <c r="B12491" i="1"/>
  <c r="B12490" i="1"/>
  <c r="B12489" i="1"/>
  <c r="B12488" i="1"/>
  <c r="B12487" i="1"/>
  <c r="B12486" i="1"/>
  <c r="B12485" i="1"/>
  <c r="B12484" i="1"/>
  <c r="B12483" i="1"/>
  <c r="B12482" i="1"/>
  <c r="B12481" i="1"/>
  <c r="B12480" i="1"/>
  <c r="B12479" i="1"/>
  <c r="B12478" i="1"/>
  <c r="B12477" i="1"/>
  <c r="B12476" i="1"/>
  <c r="B12475" i="1"/>
  <c r="B12474" i="1"/>
  <c r="B12473" i="1"/>
  <c r="B12472" i="1"/>
  <c r="B12471" i="1"/>
  <c r="B12470" i="1"/>
  <c r="B12469" i="1"/>
  <c r="B12468" i="1"/>
  <c r="B12467" i="1"/>
  <c r="B12466" i="1"/>
  <c r="B12465" i="1"/>
  <c r="B12464" i="1"/>
  <c r="B12463" i="1"/>
  <c r="B12462" i="1"/>
  <c r="B12461" i="1"/>
  <c r="B12460" i="1"/>
  <c r="B12459" i="1"/>
  <c r="B12458" i="1"/>
  <c r="B12457" i="1"/>
  <c r="B12456" i="1"/>
  <c r="B12455" i="1"/>
  <c r="B12454" i="1"/>
  <c r="B12453" i="1"/>
  <c r="B12452" i="1"/>
  <c r="B12451" i="1"/>
  <c r="B12450" i="1"/>
  <c r="B12449" i="1"/>
  <c r="B12448" i="1"/>
  <c r="B12447" i="1"/>
  <c r="B12446" i="1"/>
  <c r="B12445" i="1"/>
  <c r="B12444" i="1"/>
  <c r="B12443" i="1"/>
  <c r="B12442" i="1"/>
  <c r="B12441" i="1"/>
  <c r="B12440" i="1"/>
  <c r="B12439" i="1"/>
  <c r="B12438" i="1"/>
  <c r="B12437" i="1"/>
  <c r="B12436" i="1"/>
  <c r="B12435" i="1"/>
  <c r="B12434" i="1"/>
  <c r="B12433" i="1"/>
  <c r="B12432" i="1"/>
  <c r="B12431" i="1"/>
  <c r="B12430" i="1"/>
  <c r="B12429" i="1"/>
  <c r="B12428" i="1"/>
  <c r="B12427" i="1"/>
  <c r="B12426" i="1"/>
  <c r="B12425" i="1"/>
  <c r="B12424" i="1"/>
  <c r="B12423" i="1"/>
  <c r="B12422" i="1"/>
  <c r="B12421" i="1"/>
  <c r="B12420" i="1"/>
  <c r="B12419" i="1"/>
  <c r="B12418" i="1"/>
  <c r="B12417" i="1"/>
  <c r="B12416" i="1"/>
  <c r="B12415" i="1"/>
  <c r="B12414" i="1"/>
  <c r="B12413" i="1"/>
  <c r="B12412" i="1"/>
  <c r="B12411" i="1"/>
  <c r="B12410" i="1"/>
  <c r="B12409" i="1"/>
  <c r="B12408" i="1"/>
  <c r="B12407" i="1"/>
  <c r="B12406" i="1"/>
  <c r="B12405" i="1"/>
  <c r="B12404" i="1"/>
  <c r="B12403" i="1"/>
  <c r="B12402" i="1"/>
  <c r="B12401" i="1"/>
  <c r="B12400" i="1"/>
  <c r="B12399" i="1"/>
  <c r="B12398" i="1"/>
  <c r="B12397" i="1"/>
  <c r="B12396" i="1"/>
  <c r="B12395" i="1"/>
  <c r="B12394" i="1"/>
  <c r="B12393" i="1"/>
  <c r="B12392" i="1"/>
  <c r="B12391" i="1"/>
  <c r="B12390" i="1"/>
  <c r="B12389" i="1"/>
  <c r="B12388" i="1"/>
  <c r="B12387" i="1"/>
  <c r="B12386" i="1"/>
  <c r="B12385" i="1"/>
  <c r="B12384" i="1"/>
  <c r="B12383" i="1"/>
  <c r="B12382" i="1"/>
  <c r="B12381" i="1"/>
  <c r="B12380" i="1"/>
  <c r="B12379" i="1"/>
  <c r="B12378" i="1"/>
  <c r="B12377" i="1"/>
  <c r="B12376" i="1"/>
  <c r="B12375" i="1"/>
  <c r="B12374" i="1"/>
  <c r="B12373" i="1"/>
  <c r="B12372" i="1"/>
  <c r="B12371" i="1"/>
  <c r="B12370" i="1"/>
  <c r="B12369" i="1"/>
  <c r="B12368" i="1"/>
  <c r="B12367" i="1"/>
  <c r="B12366" i="1"/>
  <c r="B12365" i="1"/>
  <c r="B12364" i="1"/>
  <c r="B12363" i="1"/>
  <c r="B12362" i="1"/>
  <c r="B12361" i="1"/>
  <c r="B12360" i="1"/>
  <c r="B12359" i="1"/>
  <c r="B12358" i="1"/>
  <c r="B12357" i="1"/>
  <c r="B12356" i="1"/>
  <c r="B12355" i="1"/>
  <c r="B12354" i="1"/>
  <c r="B12353" i="1"/>
  <c r="B12352" i="1"/>
  <c r="B12351" i="1"/>
  <c r="B12350" i="1"/>
  <c r="B12349" i="1"/>
  <c r="B12348" i="1"/>
  <c r="B12347" i="1"/>
  <c r="B12346" i="1"/>
  <c r="B12345" i="1"/>
  <c r="B12344" i="1"/>
  <c r="B12343" i="1"/>
  <c r="B12342" i="1"/>
  <c r="B12341" i="1"/>
  <c r="B12340" i="1"/>
  <c r="B12339" i="1"/>
  <c r="B12338" i="1"/>
  <c r="B12337" i="1"/>
  <c r="B12336" i="1"/>
  <c r="B12335" i="1"/>
  <c r="B12334" i="1"/>
  <c r="B12333" i="1"/>
  <c r="B12332" i="1"/>
  <c r="B12331" i="1"/>
  <c r="B12330" i="1"/>
  <c r="B12329" i="1"/>
  <c r="B12328" i="1"/>
  <c r="B12327" i="1"/>
  <c r="B12326" i="1"/>
  <c r="B12325" i="1"/>
  <c r="B12324" i="1"/>
  <c r="B12323" i="1"/>
  <c r="B12322" i="1"/>
  <c r="B12321" i="1"/>
  <c r="B12320" i="1"/>
  <c r="B12319" i="1"/>
  <c r="B12318" i="1"/>
  <c r="B12317" i="1"/>
  <c r="B12316" i="1"/>
  <c r="B12315" i="1"/>
  <c r="B12314" i="1"/>
  <c r="B12313" i="1"/>
  <c r="B12312" i="1"/>
  <c r="B12311" i="1"/>
  <c r="B12310" i="1"/>
  <c r="B12309" i="1"/>
  <c r="B12308" i="1"/>
  <c r="B12307" i="1"/>
  <c r="B12306" i="1"/>
  <c r="B12305" i="1"/>
  <c r="B12304" i="1"/>
  <c r="B12303" i="1"/>
  <c r="B12302" i="1"/>
  <c r="B12301" i="1"/>
  <c r="B12300" i="1"/>
  <c r="B12299" i="1"/>
  <c r="B12298" i="1"/>
  <c r="B12297" i="1"/>
  <c r="B12296" i="1"/>
  <c r="B12295" i="1"/>
  <c r="B12294" i="1"/>
  <c r="B12293" i="1"/>
  <c r="B12292" i="1"/>
  <c r="B12291" i="1"/>
  <c r="B12290" i="1"/>
  <c r="B12289" i="1"/>
  <c r="B12288" i="1"/>
  <c r="B12287" i="1"/>
  <c r="B12286" i="1"/>
  <c r="B12285" i="1"/>
  <c r="B12284" i="1"/>
  <c r="B12283" i="1"/>
  <c r="B12282" i="1"/>
  <c r="B12281" i="1"/>
  <c r="B12280" i="1"/>
  <c r="B12279" i="1"/>
  <c r="B12278" i="1"/>
  <c r="B12277" i="1"/>
  <c r="B12276" i="1"/>
  <c r="B12275" i="1"/>
  <c r="B12274" i="1"/>
  <c r="B12273" i="1"/>
  <c r="B12272" i="1"/>
  <c r="B12271" i="1"/>
  <c r="B12270" i="1"/>
  <c r="B12269" i="1"/>
  <c r="B12268" i="1"/>
  <c r="B12267" i="1"/>
  <c r="B12266" i="1"/>
  <c r="B12265" i="1"/>
  <c r="B12264" i="1"/>
  <c r="B12263" i="1"/>
  <c r="B12262" i="1"/>
  <c r="B12261" i="1"/>
  <c r="B12260" i="1"/>
  <c r="B12259" i="1"/>
  <c r="B12258" i="1"/>
  <c r="B12257" i="1"/>
  <c r="B12256" i="1"/>
  <c r="B12255" i="1"/>
  <c r="B12254" i="1"/>
  <c r="B12253" i="1"/>
  <c r="B12252" i="1"/>
  <c r="B12251" i="1"/>
  <c r="B12250" i="1"/>
  <c r="B12249" i="1"/>
  <c r="B12248" i="1"/>
  <c r="B12247" i="1"/>
  <c r="B12246" i="1"/>
  <c r="B12245" i="1"/>
  <c r="B12244" i="1"/>
  <c r="B12243" i="1"/>
  <c r="B12242" i="1"/>
  <c r="B12241" i="1"/>
  <c r="B12240" i="1"/>
  <c r="B12239" i="1"/>
  <c r="B12238" i="1"/>
  <c r="B12237" i="1"/>
  <c r="B12236" i="1"/>
  <c r="B12235" i="1"/>
  <c r="B12234" i="1"/>
  <c r="B12233" i="1"/>
  <c r="B12232" i="1"/>
  <c r="B12231" i="1"/>
  <c r="B12230" i="1"/>
  <c r="B12229" i="1"/>
  <c r="B12228" i="1"/>
  <c r="B12227" i="1"/>
  <c r="B12226" i="1"/>
  <c r="B12225" i="1"/>
  <c r="B12224" i="1"/>
  <c r="B12223" i="1"/>
  <c r="B12222" i="1"/>
  <c r="B12221" i="1"/>
  <c r="B12220" i="1"/>
  <c r="B12219" i="1"/>
  <c r="B12218" i="1"/>
  <c r="B12217" i="1"/>
  <c r="B12216" i="1"/>
  <c r="B12215" i="1"/>
  <c r="B12214" i="1"/>
  <c r="B12213" i="1"/>
  <c r="B12212" i="1"/>
  <c r="B12211" i="1"/>
  <c r="B12210" i="1"/>
  <c r="B12209" i="1"/>
  <c r="B12208" i="1"/>
  <c r="B12207" i="1"/>
  <c r="B12206" i="1"/>
  <c r="B12205" i="1"/>
  <c r="B12204" i="1"/>
  <c r="B12203" i="1"/>
  <c r="B12202" i="1"/>
  <c r="B12201" i="1"/>
  <c r="B12200" i="1"/>
  <c r="B12199" i="1"/>
  <c r="B12198" i="1"/>
  <c r="B12197" i="1"/>
  <c r="B12196" i="1"/>
  <c r="B12195" i="1"/>
  <c r="B12194" i="1"/>
  <c r="B12193" i="1"/>
  <c r="B12192" i="1"/>
  <c r="B12191" i="1"/>
  <c r="B12190" i="1"/>
  <c r="B12189" i="1"/>
  <c r="B12188" i="1"/>
  <c r="B12187" i="1"/>
  <c r="B12186" i="1"/>
  <c r="B12185" i="1"/>
  <c r="B12184" i="1"/>
  <c r="B12183" i="1"/>
  <c r="B12182" i="1"/>
  <c r="B12181" i="1"/>
  <c r="B12180" i="1"/>
  <c r="B12179" i="1"/>
  <c r="B12178" i="1"/>
  <c r="B12177" i="1"/>
  <c r="B12176" i="1"/>
  <c r="B12175" i="1"/>
  <c r="B12174" i="1"/>
  <c r="B12173" i="1"/>
  <c r="B12172" i="1"/>
  <c r="B12171" i="1"/>
  <c r="B12170" i="1"/>
  <c r="B12169" i="1"/>
  <c r="B12168" i="1"/>
  <c r="B12167" i="1"/>
  <c r="B12166" i="1"/>
  <c r="B12165" i="1"/>
  <c r="B12164" i="1"/>
  <c r="B12163" i="1"/>
  <c r="B12162" i="1"/>
  <c r="B12161" i="1"/>
  <c r="B12160" i="1"/>
  <c r="B12159" i="1"/>
  <c r="B12158" i="1"/>
  <c r="B12157" i="1"/>
  <c r="B12156" i="1"/>
  <c r="B12155" i="1"/>
  <c r="B12154" i="1"/>
  <c r="B12153" i="1"/>
  <c r="B12152" i="1"/>
  <c r="B12151" i="1"/>
  <c r="B12150" i="1"/>
  <c r="B12149" i="1"/>
  <c r="B12148" i="1"/>
  <c r="B12147" i="1"/>
  <c r="B12146" i="1"/>
  <c r="B12145" i="1"/>
  <c r="B12144" i="1"/>
  <c r="B12143" i="1"/>
  <c r="B12142" i="1"/>
  <c r="B12141" i="1"/>
  <c r="B12140" i="1"/>
  <c r="B12139" i="1"/>
  <c r="B12138" i="1"/>
  <c r="B12137" i="1"/>
  <c r="B12136" i="1"/>
  <c r="B12135" i="1"/>
  <c r="B12134" i="1"/>
  <c r="B12133" i="1"/>
  <c r="B12132" i="1"/>
  <c r="B12131" i="1"/>
  <c r="B12130" i="1"/>
  <c r="B12129" i="1"/>
  <c r="B12128" i="1"/>
  <c r="B12127" i="1"/>
  <c r="B12126" i="1"/>
  <c r="B12125" i="1"/>
  <c r="B12124" i="1"/>
  <c r="B12123" i="1"/>
  <c r="B12122" i="1"/>
  <c r="B12121" i="1"/>
  <c r="B12120" i="1"/>
  <c r="B12119" i="1"/>
  <c r="B12118" i="1"/>
  <c r="B12117" i="1"/>
  <c r="B12116" i="1"/>
  <c r="B12115" i="1"/>
  <c r="B12114" i="1"/>
  <c r="B12113" i="1"/>
  <c r="B12112" i="1"/>
  <c r="B12111" i="1"/>
  <c r="B12110" i="1"/>
  <c r="B12109" i="1"/>
  <c r="B12108" i="1"/>
  <c r="B12107" i="1"/>
  <c r="B12106" i="1"/>
  <c r="B12105" i="1"/>
  <c r="B12104" i="1"/>
  <c r="B12103" i="1"/>
  <c r="B12102" i="1"/>
  <c r="B12101" i="1"/>
  <c r="B12100" i="1"/>
  <c r="B12099" i="1"/>
  <c r="B12098" i="1"/>
  <c r="B12097" i="1"/>
  <c r="B12096" i="1"/>
  <c r="B12095" i="1"/>
  <c r="B12094" i="1"/>
  <c r="B12093" i="1"/>
  <c r="B12092" i="1"/>
  <c r="B12091" i="1"/>
  <c r="B12090" i="1"/>
  <c r="B12089" i="1"/>
  <c r="B12088" i="1"/>
  <c r="B12087" i="1"/>
  <c r="B12086" i="1"/>
  <c r="B12085" i="1"/>
  <c r="B12084" i="1"/>
  <c r="B12083" i="1"/>
  <c r="B12082" i="1"/>
  <c r="B12081" i="1"/>
  <c r="B12080" i="1"/>
  <c r="B12079" i="1"/>
  <c r="B12078" i="1"/>
  <c r="B12077" i="1"/>
  <c r="B12076" i="1"/>
  <c r="B12075" i="1"/>
  <c r="B12074" i="1"/>
  <c r="B12073" i="1"/>
  <c r="B12072" i="1"/>
  <c r="B12071" i="1"/>
  <c r="B12070" i="1"/>
  <c r="B12069" i="1"/>
  <c r="B12068" i="1"/>
  <c r="B12067" i="1"/>
  <c r="B12066" i="1"/>
  <c r="B12065" i="1"/>
  <c r="B12064" i="1"/>
  <c r="B12063" i="1"/>
  <c r="B12062" i="1"/>
  <c r="B12061" i="1"/>
  <c r="B12060" i="1"/>
  <c r="B12059" i="1"/>
  <c r="B12058" i="1"/>
  <c r="B12057" i="1"/>
  <c r="B12056" i="1"/>
  <c r="B12055" i="1"/>
  <c r="B12054" i="1"/>
  <c r="B12053" i="1"/>
  <c r="B12052" i="1"/>
  <c r="B12051" i="1"/>
  <c r="B12050" i="1"/>
  <c r="B12049" i="1"/>
  <c r="B12048" i="1"/>
  <c r="B12047" i="1"/>
  <c r="B12046" i="1"/>
  <c r="B12045" i="1"/>
  <c r="B12044" i="1"/>
  <c r="B12043" i="1"/>
  <c r="B12042" i="1"/>
  <c r="B12041" i="1"/>
  <c r="B12040" i="1"/>
  <c r="B12039" i="1"/>
  <c r="B12038" i="1"/>
  <c r="B12037" i="1"/>
  <c r="B12036" i="1"/>
  <c r="B12035" i="1"/>
  <c r="B12034" i="1"/>
  <c r="B12033" i="1"/>
  <c r="B12032" i="1"/>
  <c r="B12031" i="1"/>
  <c r="B12030" i="1"/>
  <c r="B12029" i="1"/>
  <c r="B12028" i="1"/>
  <c r="B12027" i="1"/>
  <c r="B12026" i="1"/>
  <c r="B12025" i="1"/>
  <c r="B12024" i="1"/>
  <c r="B12023" i="1"/>
  <c r="B12022" i="1"/>
  <c r="B12021" i="1"/>
  <c r="B12020" i="1"/>
  <c r="B12019" i="1"/>
  <c r="B12018" i="1"/>
  <c r="B12017" i="1"/>
  <c r="B12016" i="1"/>
  <c r="B12015" i="1"/>
  <c r="B12014" i="1"/>
  <c r="B12013" i="1"/>
  <c r="B12012" i="1"/>
  <c r="B12011" i="1"/>
  <c r="B12010" i="1"/>
  <c r="B12009" i="1"/>
  <c r="B12008" i="1"/>
  <c r="B12007" i="1"/>
  <c r="B12006" i="1"/>
  <c r="B12005" i="1"/>
  <c r="B12004" i="1"/>
  <c r="B12003" i="1"/>
  <c r="B12002" i="1"/>
  <c r="B12001" i="1"/>
  <c r="B12000" i="1"/>
  <c r="B11999" i="1"/>
  <c r="B11998" i="1"/>
  <c r="B11997" i="1"/>
  <c r="B11996" i="1"/>
  <c r="B11995" i="1"/>
  <c r="B11994" i="1"/>
  <c r="B11993" i="1"/>
  <c r="B11992" i="1"/>
  <c r="B11991" i="1"/>
  <c r="B11990" i="1"/>
  <c r="B11989" i="1"/>
  <c r="B11988" i="1"/>
  <c r="B11987" i="1"/>
  <c r="B11986" i="1"/>
  <c r="B11985" i="1"/>
  <c r="B11984" i="1"/>
  <c r="B11983" i="1"/>
  <c r="B11982" i="1"/>
  <c r="B11981" i="1"/>
  <c r="B11980" i="1"/>
  <c r="B11979" i="1"/>
  <c r="B11978" i="1"/>
  <c r="B11977" i="1"/>
  <c r="B11976" i="1"/>
  <c r="B11975" i="1"/>
  <c r="B11974" i="1"/>
  <c r="B11973" i="1"/>
  <c r="B11972" i="1"/>
  <c r="B11971" i="1"/>
  <c r="B11970" i="1"/>
  <c r="B11969" i="1"/>
  <c r="B11968" i="1"/>
  <c r="B11967" i="1"/>
  <c r="B11966" i="1"/>
  <c r="B11965" i="1"/>
  <c r="B11964" i="1"/>
  <c r="B11963" i="1"/>
  <c r="B11962" i="1"/>
  <c r="B11961" i="1"/>
  <c r="B11960" i="1"/>
  <c r="B11959" i="1"/>
  <c r="B11958" i="1"/>
  <c r="B11957" i="1"/>
  <c r="B11956" i="1"/>
  <c r="B11955" i="1"/>
  <c r="B11954" i="1"/>
  <c r="B11953" i="1"/>
  <c r="B11952" i="1"/>
  <c r="B11951" i="1"/>
  <c r="B11950" i="1"/>
  <c r="B11949" i="1"/>
  <c r="B11948" i="1"/>
  <c r="B11947" i="1"/>
  <c r="B11946" i="1"/>
  <c r="B11945" i="1"/>
  <c r="B11944" i="1"/>
  <c r="B11943" i="1"/>
  <c r="B11942" i="1"/>
  <c r="B11941" i="1"/>
  <c r="B11940" i="1"/>
  <c r="B11939" i="1"/>
  <c r="B11938" i="1"/>
  <c r="B11937" i="1"/>
  <c r="B11936" i="1"/>
  <c r="B11935" i="1"/>
  <c r="B11934" i="1"/>
  <c r="B11933" i="1"/>
  <c r="B11932" i="1"/>
  <c r="B11931" i="1"/>
  <c r="B11930" i="1"/>
  <c r="B11929" i="1"/>
  <c r="B11928" i="1"/>
  <c r="B11927" i="1"/>
  <c r="B11926" i="1"/>
  <c r="B11925" i="1"/>
  <c r="B11924" i="1"/>
  <c r="B11923" i="1"/>
  <c r="B11922" i="1"/>
  <c r="B11921" i="1"/>
  <c r="B11920" i="1"/>
  <c r="B11919" i="1"/>
  <c r="B11918" i="1"/>
  <c r="B11917" i="1"/>
  <c r="B11916" i="1"/>
  <c r="B11915" i="1"/>
  <c r="B11914" i="1"/>
  <c r="B11913" i="1"/>
  <c r="B11912" i="1"/>
  <c r="B11911" i="1"/>
  <c r="B11910" i="1"/>
  <c r="B11909" i="1"/>
  <c r="B11908" i="1"/>
  <c r="B11907" i="1"/>
  <c r="B11906" i="1"/>
  <c r="B11905" i="1"/>
  <c r="B11904" i="1"/>
  <c r="B11903" i="1"/>
  <c r="B11902" i="1"/>
  <c r="B11901" i="1"/>
  <c r="B11900" i="1"/>
  <c r="B11899" i="1"/>
  <c r="B11898" i="1"/>
  <c r="B11897" i="1"/>
  <c r="B11896" i="1"/>
  <c r="B11895" i="1"/>
  <c r="B11894" i="1"/>
  <c r="B11893" i="1"/>
  <c r="B11892" i="1"/>
  <c r="B11891" i="1"/>
  <c r="B11890" i="1"/>
  <c r="B11889" i="1"/>
  <c r="B11888" i="1"/>
  <c r="B11887" i="1"/>
  <c r="B11886" i="1"/>
  <c r="B11885" i="1"/>
  <c r="B11884" i="1"/>
  <c r="B11883" i="1"/>
  <c r="B11882" i="1"/>
  <c r="B11881" i="1"/>
  <c r="B11880" i="1"/>
  <c r="B11879" i="1"/>
  <c r="B11878" i="1"/>
  <c r="B11877" i="1"/>
  <c r="B11876" i="1"/>
  <c r="B11875" i="1"/>
  <c r="B11874" i="1"/>
  <c r="B11873" i="1"/>
  <c r="B11872" i="1"/>
  <c r="B11871" i="1"/>
  <c r="B11870" i="1"/>
  <c r="B11869" i="1"/>
  <c r="B11868" i="1"/>
  <c r="B11867" i="1"/>
  <c r="B11866" i="1"/>
  <c r="B11865" i="1"/>
  <c r="B11864" i="1"/>
  <c r="B11863" i="1"/>
  <c r="B11862" i="1"/>
  <c r="B11861" i="1"/>
  <c r="B11860" i="1"/>
  <c r="B11859" i="1"/>
  <c r="B11858" i="1"/>
  <c r="B11857" i="1"/>
  <c r="B11856" i="1"/>
  <c r="B11855" i="1"/>
  <c r="B11854" i="1"/>
  <c r="B11853" i="1"/>
  <c r="B11852" i="1"/>
  <c r="B11851" i="1"/>
  <c r="B11850" i="1"/>
  <c r="B11849" i="1"/>
  <c r="B11848" i="1"/>
  <c r="B11847" i="1"/>
  <c r="B11846" i="1"/>
  <c r="B11845" i="1"/>
  <c r="B11844" i="1"/>
  <c r="B11843" i="1"/>
  <c r="B11842" i="1"/>
  <c r="B11841" i="1"/>
  <c r="B11840" i="1"/>
  <c r="B11839" i="1"/>
  <c r="B11838" i="1"/>
  <c r="B11837" i="1"/>
  <c r="B11836" i="1"/>
  <c r="B11835" i="1"/>
  <c r="B11834" i="1"/>
  <c r="B11833" i="1"/>
  <c r="B11832" i="1"/>
  <c r="B11831" i="1"/>
  <c r="B11830" i="1"/>
  <c r="B11829" i="1"/>
  <c r="B11828" i="1"/>
  <c r="B11827" i="1"/>
  <c r="B11826" i="1"/>
  <c r="B11825" i="1"/>
  <c r="B11824" i="1"/>
  <c r="B11823" i="1"/>
  <c r="B11822" i="1"/>
  <c r="B11821" i="1"/>
  <c r="B11820" i="1"/>
  <c r="B11819" i="1"/>
  <c r="B11818" i="1"/>
  <c r="B11817" i="1"/>
  <c r="B11816" i="1"/>
  <c r="B11815" i="1"/>
  <c r="B11814" i="1"/>
  <c r="B11813" i="1"/>
  <c r="B11812" i="1"/>
  <c r="B11811" i="1"/>
  <c r="B11810" i="1"/>
  <c r="B11809" i="1"/>
  <c r="B11808" i="1"/>
  <c r="B11807" i="1"/>
  <c r="B11806" i="1"/>
  <c r="B11805" i="1"/>
  <c r="B11804" i="1"/>
  <c r="B11803" i="1"/>
  <c r="B11802" i="1"/>
  <c r="B11801" i="1"/>
  <c r="B11800" i="1"/>
  <c r="B11799" i="1"/>
  <c r="B11798" i="1"/>
  <c r="B11797" i="1"/>
  <c r="B11796" i="1"/>
  <c r="B11795" i="1"/>
  <c r="B11794" i="1"/>
  <c r="B11793" i="1"/>
  <c r="B11792" i="1"/>
  <c r="B11791" i="1"/>
  <c r="B11790" i="1"/>
  <c r="B11789" i="1"/>
  <c r="B11788" i="1"/>
  <c r="B11787" i="1"/>
  <c r="B11786" i="1"/>
  <c r="B11785" i="1"/>
  <c r="B11784" i="1"/>
  <c r="B11783" i="1"/>
  <c r="B11782" i="1"/>
  <c r="B11781" i="1"/>
  <c r="B11780" i="1"/>
  <c r="B11779" i="1"/>
  <c r="B11778" i="1"/>
  <c r="B11777" i="1"/>
  <c r="B11776" i="1"/>
  <c r="B11775" i="1"/>
  <c r="B11774" i="1"/>
  <c r="B11773" i="1"/>
  <c r="B11772" i="1"/>
  <c r="B11771" i="1"/>
  <c r="B11770" i="1"/>
  <c r="B11769" i="1"/>
  <c r="B11768" i="1"/>
  <c r="B11767" i="1"/>
  <c r="B11766" i="1"/>
  <c r="B11765" i="1"/>
  <c r="B11764" i="1"/>
  <c r="B11763" i="1"/>
  <c r="B11762" i="1"/>
  <c r="B11761" i="1"/>
  <c r="B11760" i="1"/>
  <c r="B11759" i="1"/>
  <c r="B11758" i="1"/>
  <c r="B11757" i="1"/>
  <c r="B11756" i="1"/>
  <c r="B11755" i="1"/>
  <c r="B11754" i="1"/>
  <c r="B11753" i="1"/>
  <c r="B11752" i="1"/>
  <c r="B11751" i="1"/>
  <c r="B11750" i="1"/>
  <c r="B11749" i="1"/>
  <c r="B11748" i="1"/>
  <c r="B11747" i="1"/>
  <c r="B11746" i="1"/>
  <c r="B11745" i="1"/>
  <c r="B11744" i="1"/>
  <c r="B11743" i="1"/>
  <c r="B11742" i="1"/>
  <c r="B11741" i="1"/>
  <c r="B11740" i="1"/>
  <c r="B11739" i="1"/>
  <c r="B11738" i="1"/>
  <c r="B11737" i="1"/>
  <c r="B11736" i="1"/>
  <c r="B11735" i="1"/>
  <c r="B11734" i="1"/>
  <c r="B11733" i="1"/>
  <c r="B11732" i="1"/>
  <c r="B11731" i="1"/>
  <c r="B11730" i="1"/>
  <c r="B11729" i="1"/>
  <c r="B11728" i="1"/>
  <c r="B11727" i="1"/>
  <c r="B11726" i="1"/>
  <c r="B11725" i="1"/>
  <c r="B11724" i="1"/>
  <c r="B11723" i="1"/>
  <c r="B11722" i="1"/>
  <c r="B11721" i="1"/>
  <c r="B11720" i="1"/>
  <c r="B11719" i="1"/>
  <c r="B11718" i="1"/>
  <c r="B11717" i="1"/>
  <c r="B11716" i="1"/>
  <c r="B11715" i="1"/>
  <c r="B11714" i="1"/>
  <c r="B11713" i="1"/>
  <c r="B11712" i="1"/>
  <c r="B11711" i="1"/>
  <c r="B11710" i="1"/>
  <c r="B11709" i="1"/>
  <c r="B11708" i="1"/>
  <c r="B11707" i="1"/>
  <c r="B11706" i="1"/>
  <c r="B11705" i="1"/>
  <c r="B11704" i="1"/>
  <c r="B11703" i="1"/>
  <c r="B11702" i="1"/>
  <c r="B11701" i="1"/>
  <c r="B11700" i="1"/>
  <c r="B11699" i="1"/>
  <c r="B11698" i="1"/>
  <c r="B11697" i="1"/>
  <c r="B11696" i="1"/>
  <c r="B11695" i="1"/>
  <c r="B11694" i="1"/>
  <c r="B11693" i="1"/>
  <c r="B11692" i="1"/>
  <c r="B11691" i="1"/>
  <c r="B11690" i="1"/>
  <c r="B11689" i="1"/>
  <c r="B11688" i="1"/>
  <c r="B11687" i="1"/>
  <c r="B11686" i="1"/>
  <c r="B11685" i="1"/>
  <c r="B11684" i="1"/>
  <c r="B11683" i="1"/>
  <c r="B11682" i="1"/>
  <c r="B11681" i="1"/>
  <c r="B11680" i="1"/>
  <c r="B11679" i="1"/>
  <c r="B11678" i="1"/>
  <c r="B11677" i="1"/>
  <c r="B11676" i="1"/>
  <c r="B11675" i="1"/>
  <c r="B11674" i="1"/>
  <c r="B11673" i="1"/>
  <c r="B11672" i="1"/>
  <c r="B11671" i="1"/>
  <c r="B11670" i="1"/>
  <c r="B11669" i="1"/>
  <c r="B11668" i="1"/>
  <c r="B11667" i="1"/>
  <c r="B11666" i="1"/>
  <c r="B11665" i="1"/>
  <c r="B11664" i="1"/>
  <c r="B11663" i="1"/>
  <c r="B11662" i="1"/>
  <c r="B11661" i="1"/>
  <c r="B11660" i="1"/>
  <c r="B11659" i="1"/>
  <c r="B11658" i="1"/>
  <c r="B11657" i="1"/>
  <c r="B11656" i="1"/>
  <c r="B11655" i="1"/>
  <c r="B11654" i="1"/>
  <c r="B11653" i="1"/>
  <c r="B11652" i="1"/>
  <c r="B11651" i="1"/>
  <c r="B11650" i="1"/>
  <c r="B11649" i="1"/>
  <c r="B11648" i="1"/>
  <c r="B11647" i="1"/>
  <c r="B11646" i="1"/>
  <c r="B11645" i="1"/>
  <c r="B11644" i="1"/>
  <c r="B11643" i="1"/>
  <c r="B11642" i="1"/>
  <c r="B11641" i="1"/>
  <c r="B11640" i="1"/>
  <c r="B11639" i="1"/>
  <c r="B11638" i="1"/>
  <c r="B11637" i="1"/>
  <c r="B11636" i="1"/>
  <c r="B11635" i="1"/>
  <c r="B11634" i="1"/>
  <c r="B11633" i="1"/>
  <c r="B11632" i="1"/>
  <c r="B11631" i="1"/>
  <c r="B11630" i="1"/>
  <c r="B11629" i="1"/>
  <c r="B11628" i="1"/>
  <c r="B11627" i="1"/>
  <c r="B11626" i="1"/>
  <c r="B11625" i="1"/>
  <c r="B11624" i="1"/>
  <c r="B11623" i="1"/>
  <c r="B11622" i="1"/>
  <c r="B11621" i="1"/>
  <c r="B11620" i="1"/>
  <c r="B11619" i="1"/>
  <c r="B11618" i="1"/>
  <c r="B11617" i="1"/>
  <c r="B11616" i="1"/>
  <c r="B11615" i="1"/>
  <c r="B11614" i="1"/>
  <c r="B11613" i="1"/>
  <c r="B11612" i="1"/>
  <c r="B11611" i="1"/>
  <c r="B11610" i="1"/>
  <c r="B11609" i="1"/>
  <c r="B11608" i="1"/>
  <c r="B11607" i="1"/>
  <c r="B11606" i="1"/>
  <c r="B11605" i="1"/>
  <c r="B11604" i="1"/>
  <c r="B11603" i="1"/>
  <c r="B11602" i="1"/>
  <c r="B11601" i="1"/>
  <c r="B11600" i="1"/>
  <c r="B11599" i="1"/>
  <c r="B11598" i="1"/>
  <c r="B11597" i="1"/>
  <c r="B11596" i="1"/>
  <c r="B11595" i="1"/>
  <c r="B11594" i="1"/>
  <c r="B11593" i="1"/>
  <c r="B11592" i="1"/>
  <c r="B11591" i="1"/>
  <c r="B11590" i="1"/>
  <c r="B11589" i="1"/>
  <c r="B11588" i="1"/>
  <c r="B11587" i="1"/>
  <c r="B11586" i="1"/>
  <c r="B11585" i="1"/>
  <c r="B11584" i="1"/>
  <c r="B11583" i="1"/>
  <c r="B11582" i="1"/>
  <c r="B11581" i="1"/>
  <c r="B11580" i="1"/>
  <c r="B11579" i="1"/>
  <c r="B11578" i="1"/>
  <c r="B11577" i="1"/>
  <c r="B11576" i="1"/>
  <c r="B11575" i="1"/>
  <c r="B11574" i="1"/>
  <c r="B11573" i="1"/>
  <c r="B11572" i="1"/>
  <c r="B11571" i="1"/>
  <c r="B11570" i="1"/>
  <c r="B11569" i="1"/>
  <c r="B11568" i="1"/>
  <c r="B11567" i="1"/>
  <c r="B11566" i="1"/>
  <c r="B11565" i="1"/>
  <c r="B11564" i="1"/>
  <c r="B11563" i="1"/>
  <c r="B11562" i="1"/>
  <c r="B11561" i="1"/>
  <c r="B11560" i="1"/>
  <c r="B11559" i="1"/>
  <c r="B11558" i="1"/>
  <c r="B11557" i="1"/>
  <c r="B11556" i="1"/>
  <c r="B11555" i="1"/>
  <c r="B11554" i="1"/>
  <c r="B11553" i="1"/>
  <c r="B11552" i="1"/>
  <c r="B11551" i="1"/>
  <c r="B11550" i="1"/>
  <c r="B11549" i="1"/>
  <c r="B11548" i="1"/>
  <c r="B11547" i="1"/>
  <c r="B11546" i="1"/>
  <c r="B11545" i="1"/>
  <c r="B11544" i="1"/>
  <c r="B11543" i="1"/>
  <c r="B11542" i="1"/>
  <c r="B11541" i="1"/>
  <c r="B11540" i="1"/>
  <c r="B11539" i="1"/>
  <c r="B11538" i="1"/>
  <c r="B11537" i="1"/>
  <c r="B11536" i="1"/>
  <c r="B11535" i="1"/>
  <c r="B11534" i="1"/>
  <c r="B11533" i="1"/>
  <c r="B11532" i="1"/>
  <c r="B11531" i="1"/>
  <c r="B11530" i="1"/>
  <c r="B11529" i="1"/>
  <c r="B11528" i="1"/>
  <c r="B11527" i="1"/>
  <c r="B11526" i="1"/>
  <c r="B11525" i="1"/>
  <c r="B11524" i="1"/>
  <c r="B11523" i="1"/>
  <c r="B11522" i="1"/>
  <c r="B11521" i="1"/>
  <c r="B11520" i="1"/>
  <c r="B11519" i="1"/>
  <c r="B11518" i="1"/>
  <c r="B11517" i="1"/>
  <c r="B11516" i="1"/>
  <c r="B11515" i="1"/>
  <c r="B11514" i="1"/>
  <c r="B11513" i="1"/>
  <c r="B11512" i="1"/>
  <c r="B11511" i="1"/>
  <c r="B11510" i="1"/>
  <c r="B11509" i="1"/>
  <c r="B11508" i="1"/>
  <c r="B11507" i="1"/>
  <c r="B11506" i="1"/>
  <c r="B11505" i="1"/>
  <c r="B11504" i="1"/>
  <c r="B11503" i="1"/>
  <c r="B11502" i="1"/>
  <c r="B11501" i="1"/>
  <c r="B11500" i="1"/>
  <c r="B11499" i="1"/>
  <c r="B11498" i="1"/>
  <c r="B11497" i="1"/>
  <c r="B11496" i="1"/>
  <c r="B11495" i="1"/>
  <c r="B11494" i="1"/>
  <c r="B11493" i="1"/>
  <c r="B11492" i="1"/>
  <c r="B11491" i="1"/>
  <c r="B11490" i="1"/>
  <c r="B11489" i="1"/>
  <c r="B11488" i="1"/>
  <c r="B11487" i="1"/>
  <c r="B11486" i="1"/>
  <c r="B11485" i="1"/>
  <c r="B11484" i="1"/>
  <c r="B11483" i="1"/>
  <c r="B11482" i="1"/>
  <c r="B11481" i="1"/>
  <c r="B11480" i="1"/>
  <c r="B11479" i="1"/>
  <c r="B11478" i="1"/>
  <c r="B11477" i="1"/>
  <c r="B11476" i="1"/>
  <c r="B11475" i="1"/>
  <c r="B11474" i="1"/>
  <c r="B11473" i="1"/>
  <c r="B11472" i="1"/>
  <c r="B11471" i="1"/>
  <c r="B11470" i="1"/>
  <c r="B11469" i="1"/>
  <c r="B11468" i="1"/>
  <c r="B11467" i="1"/>
  <c r="B11466" i="1"/>
  <c r="B11465" i="1"/>
  <c r="B11464" i="1"/>
  <c r="B11463" i="1"/>
  <c r="B11462" i="1"/>
  <c r="B11461" i="1"/>
  <c r="B11460" i="1"/>
  <c r="B11459" i="1"/>
  <c r="B11458" i="1"/>
  <c r="B11457" i="1"/>
  <c r="B11456" i="1"/>
  <c r="B11455" i="1"/>
  <c r="B11454" i="1"/>
  <c r="B11453" i="1"/>
  <c r="B11452" i="1"/>
  <c r="B11451" i="1"/>
  <c r="B11450" i="1"/>
  <c r="B11449" i="1"/>
  <c r="B11448" i="1"/>
  <c r="B11447" i="1"/>
  <c r="B11446" i="1"/>
  <c r="B11445" i="1"/>
  <c r="B11444" i="1"/>
  <c r="B11443" i="1"/>
  <c r="B11442" i="1"/>
  <c r="B11441" i="1"/>
  <c r="B11440" i="1"/>
  <c r="B11439" i="1"/>
  <c r="B11438" i="1"/>
  <c r="B11437" i="1"/>
  <c r="B11436" i="1"/>
  <c r="B11435" i="1"/>
  <c r="B11434" i="1"/>
  <c r="B11433" i="1"/>
  <c r="B11432" i="1"/>
  <c r="B11431" i="1"/>
  <c r="B11430" i="1"/>
  <c r="B11429" i="1"/>
  <c r="B11428" i="1"/>
  <c r="B11427" i="1"/>
  <c r="B11426" i="1"/>
  <c r="B11425" i="1"/>
  <c r="B11424" i="1"/>
  <c r="B11423" i="1"/>
  <c r="B11422" i="1"/>
  <c r="B11421" i="1"/>
  <c r="B11420" i="1"/>
  <c r="B11419" i="1"/>
  <c r="B11418" i="1"/>
  <c r="B11417" i="1"/>
  <c r="B11416" i="1"/>
  <c r="B11415" i="1"/>
  <c r="B11414" i="1"/>
  <c r="B11413" i="1"/>
  <c r="B11412" i="1"/>
  <c r="B11411" i="1"/>
  <c r="B11410" i="1"/>
  <c r="B11409" i="1"/>
  <c r="B11408" i="1"/>
  <c r="B11407" i="1"/>
  <c r="B11406" i="1"/>
  <c r="B11405" i="1"/>
  <c r="B11404" i="1"/>
  <c r="B11403" i="1"/>
  <c r="B11402" i="1"/>
  <c r="B11401" i="1"/>
  <c r="B11400" i="1"/>
  <c r="B11399" i="1"/>
  <c r="B11398" i="1"/>
  <c r="B11397" i="1"/>
  <c r="B11396" i="1"/>
  <c r="B11395" i="1"/>
  <c r="B11394" i="1"/>
  <c r="B11393" i="1"/>
  <c r="B11392" i="1"/>
  <c r="B11391" i="1"/>
  <c r="B11390" i="1"/>
  <c r="B11389" i="1"/>
  <c r="B11388" i="1"/>
  <c r="B11387" i="1"/>
  <c r="B11386" i="1"/>
  <c r="B11385" i="1"/>
  <c r="B11384" i="1"/>
  <c r="B11383" i="1"/>
  <c r="B11382" i="1"/>
  <c r="B11381" i="1"/>
  <c r="B11380" i="1"/>
  <c r="B11379" i="1"/>
  <c r="B11378" i="1"/>
  <c r="B11377" i="1"/>
  <c r="B11376" i="1"/>
  <c r="B11375" i="1"/>
  <c r="B11374" i="1"/>
  <c r="B11373" i="1"/>
  <c r="B11372" i="1"/>
  <c r="B11371" i="1"/>
  <c r="B11370" i="1"/>
  <c r="B11369" i="1"/>
  <c r="B11368" i="1"/>
  <c r="B11367" i="1"/>
  <c r="B11366" i="1"/>
  <c r="B11365" i="1"/>
  <c r="B11364" i="1"/>
  <c r="B11363" i="1"/>
  <c r="B11362" i="1"/>
  <c r="B11361" i="1"/>
  <c r="B11360" i="1"/>
  <c r="B11359" i="1"/>
  <c r="B11358" i="1"/>
  <c r="B11357" i="1"/>
  <c r="B11356" i="1"/>
  <c r="B11355" i="1"/>
  <c r="B11354" i="1"/>
  <c r="B11353" i="1"/>
  <c r="B11352" i="1"/>
  <c r="B11351" i="1"/>
  <c r="B11350" i="1"/>
  <c r="B11349" i="1"/>
  <c r="B11348" i="1"/>
  <c r="B11347" i="1"/>
  <c r="B11346" i="1"/>
  <c r="B11345" i="1"/>
  <c r="B11344" i="1"/>
  <c r="B11343" i="1"/>
  <c r="B11342" i="1"/>
  <c r="B11341" i="1"/>
  <c r="B11340" i="1"/>
  <c r="B11339" i="1"/>
  <c r="B11338" i="1"/>
  <c r="B11337" i="1"/>
  <c r="B11336" i="1"/>
  <c r="B11335" i="1"/>
  <c r="B11334" i="1"/>
  <c r="B11333" i="1"/>
  <c r="B11332" i="1"/>
  <c r="B11331" i="1"/>
  <c r="B11330" i="1"/>
  <c r="B11329" i="1"/>
  <c r="B11328" i="1"/>
  <c r="B11327" i="1"/>
  <c r="B11326" i="1"/>
  <c r="B11325" i="1"/>
  <c r="B11324" i="1"/>
  <c r="B11323" i="1"/>
  <c r="B11322" i="1"/>
  <c r="B11321" i="1"/>
  <c r="B11320" i="1"/>
  <c r="B11319" i="1"/>
  <c r="B11318" i="1"/>
  <c r="B11317" i="1"/>
  <c r="B11316" i="1"/>
  <c r="B11315" i="1"/>
  <c r="B11314" i="1"/>
  <c r="B11313" i="1"/>
  <c r="B11312" i="1"/>
  <c r="B11311" i="1"/>
  <c r="B11310" i="1"/>
  <c r="B11309" i="1"/>
  <c r="B11308" i="1"/>
  <c r="B11307" i="1"/>
  <c r="B11306" i="1"/>
  <c r="B11305" i="1"/>
  <c r="B11304" i="1"/>
  <c r="B11303" i="1"/>
  <c r="B11302" i="1"/>
  <c r="B11301" i="1"/>
  <c r="B11300" i="1"/>
  <c r="B11299" i="1"/>
  <c r="B11298" i="1"/>
  <c r="B11297" i="1"/>
  <c r="B11296" i="1"/>
  <c r="B11295" i="1"/>
  <c r="B11294" i="1"/>
  <c r="B11293" i="1"/>
  <c r="B11292" i="1"/>
  <c r="B11291" i="1"/>
  <c r="B11290" i="1"/>
  <c r="B11289" i="1"/>
  <c r="B11288" i="1"/>
  <c r="B11287" i="1"/>
  <c r="B11286" i="1"/>
  <c r="B11285" i="1"/>
  <c r="B11284" i="1"/>
  <c r="B11283" i="1"/>
  <c r="B11282" i="1"/>
  <c r="B11281" i="1"/>
  <c r="B11280" i="1"/>
  <c r="B11279" i="1"/>
  <c r="B11278" i="1"/>
  <c r="B11277" i="1"/>
  <c r="B11276" i="1"/>
  <c r="B11275" i="1"/>
  <c r="B11274" i="1"/>
  <c r="B11273" i="1"/>
  <c r="B11272" i="1"/>
  <c r="B11271" i="1"/>
  <c r="B11270" i="1"/>
  <c r="B11269" i="1"/>
  <c r="B11268" i="1"/>
  <c r="B11267" i="1"/>
  <c r="B11266" i="1"/>
  <c r="B11265" i="1"/>
  <c r="B11264" i="1"/>
  <c r="B11263" i="1"/>
  <c r="B11262" i="1"/>
  <c r="B11261" i="1"/>
  <c r="B11260" i="1"/>
  <c r="B11259" i="1"/>
  <c r="B11258" i="1"/>
  <c r="B11257" i="1"/>
  <c r="B11256" i="1"/>
  <c r="B11255" i="1"/>
  <c r="B11254" i="1"/>
  <c r="B11253" i="1"/>
  <c r="B11252" i="1"/>
  <c r="B11251" i="1"/>
  <c r="B11250" i="1"/>
  <c r="B11249" i="1"/>
  <c r="B11248" i="1"/>
  <c r="B11247" i="1"/>
  <c r="B11246" i="1"/>
  <c r="B11245" i="1"/>
  <c r="B11244" i="1"/>
  <c r="B11243" i="1"/>
  <c r="B11242" i="1"/>
  <c r="B11241" i="1"/>
  <c r="B11240" i="1"/>
  <c r="B11239" i="1"/>
  <c r="B11238" i="1"/>
  <c r="B11237" i="1"/>
  <c r="B11236" i="1"/>
  <c r="B11235" i="1"/>
  <c r="B11234" i="1"/>
  <c r="B11233" i="1"/>
  <c r="B11232" i="1"/>
  <c r="B11231" i="1"/>
  <c r="B11230" i="1"/>
  <c r="B11229" i="1"/>
  <c r="B11228" i="1"/>
  <c r="B11227" i="1"/>
  <c r="B11226" i="1"/>
  <c r="B11225" i="1"/>
  <c r="B11224" i="1"/>
  <c r="B11223" i="1"/>
  <c r="B11222" i="1"/>
  <c r="B11221" i="1"/>
  <c r="B11220" i="1"/>
  <c r="B11219" i="1"/>
  <c r="B11218" i="1"/>
  <c r="B11217" i="1"/>
  <c r="B11216" i="1"/>
  <c r="B11215" i="1"/>
  <c r="B11214" i="1"/>
  <c r="B11213" i="1"/>
  <c r="B11212" i="1"/>
  <c r="B11211" i="1"/>
  <c r="B11210" i="1"/>
  <c r="B11209" i="1"/>
  <c r="B11208" i="1"/>
  <c r="B11207" i="1"/>
  <c r="B11206" i="1"/>
  <c r="B11205" i="1"/>
  <c r="B11204" i="1"/>
  <c r="B11203" i="1"/>
  <c r="B11202" i="1"/>
  <c r="B11201" i="1"/>
  <c r="B11200" i="1"/>
  <c r="B11199" i="1"/>
  <c r="B11198" i="1"/>
  <c r="B11197" i="1"/>
  <c r="B11196" i="1"/>
  <c r="B11195" i="1"/>
  <c r="B11194" i="1"/>
  <c r="B11193" i="1"/>
  <c r="B11192" i="1"/>
  <c r="B11191" i="1"/>
  <c r="B11190" i="1"/>
  <c r="B11189" i="1"/>
  <c r="B11188" i="1"/>
  <c r="B11187" i="1"/>
  <c r="B11186" i="1"/>
  <c r="B11185" i="1"/>
  <c r="B11184" i="1"/>
  <c r="B11183" i="1"/>
  <c r="B11182" i="1"/>
  <c r="B11181" i="1"/>
  <c r="B11180" i="1"/>
  <c r="B11179" i="1"/>
  <c r="B11178" i="1"/>
  <c r="B11177" i="1"/>
  <c r="B11176" i="1"/>
  <c r="B11175" i="1"/>
  <c r="B11174" i="1"/>
  <c r="B11173" i="1"/>
  <c r="B11172" i="1"/>
  <c r="B11171" i="1"/>
  <c r="B11170" i="1"/>
  <c r="B11169" i="1"/>
  <c r="B11168" i="1"/>
  <c r="B11167" i="1"/>
  <c r="B11166" i="1"/>
  <c r="B11165" i="1"/>
  <c r="B11164" i="1"/>
  <c r="B11163" i="1"/>
  <c r="B11162" i="1"/>
  <c r="B11161" i="1"/>
  <c r="B11160" i="1"/>
  <c r="B11159" i="1"/>
  <c r="B11158" i="1"/>
  <c r="B11157" i="1"/>
  <c r="B11156" i="1"/>
  <c r="B11155" i="1"/>
  <c r="B11154" i="1"/>
  <c r="B11153" i="1"/>
  <c r="B11152" i="1"/>
  <c r="B11151" i="1"/>
  <c r="B11150" i="1"/>
  <c r="B11149" i="1"/>
  <c r="B11148" i="1"/>
  <c r="B11147" i="1"/>
  <c r="B11146" i="1"/>
  <c r="B11145" i="1"/>
  <c r="B11144" i="1"/>
  <c r="B11143" i="1"/>
  <c r="B11142" i="1"/>
  <c r="B11141" i="1"/>
  <c r="B11140" i="1"/>
  <c r="B11139" i="1"/>
  <c r="B11138" i="1"/>
  <c r="B11137" i="1"/>
  <c r="B11136" i="1"/>
  <c r="B11135" i="1"/>
  <c r="B11134" i="1"/>
  <c r="B11133" i="1"/>
  <c r="B11132" i="1"/>
  <c r="B11131" i="1"/>
  <c r="B11130" i="1"/>
  <c r="B11129" i="1"/>
  <c r="B11128" i="1"/>
  <c r="B11127" i="1"/>
  <c r="B11126" i="1"/>
  <c r="B11125" i="1"/>
  <c r="B11124" i="1"/>
  <c r="B11123" i="1"/>
  <c r="B11122" i="1"/>
  <c r="B11121" i="1"/>
  <c r="B11120" i="1"/>
  <c r="B11119" i="1"/>
  <c r="B11118" i="1"/>
  <c r="B11117" i="1"/>
  <c r="B11116" i="1"/>
  <c r="B11115" i="1"/>
  <c r="B11114" i="1"/>
  <c r="B11113" i="1"/>
  <c r="B11112" i="1"/>
  <c r="B11111" i="1"/>
  <c r="B11110" i="1"/>
  <c r="B11109" i="1"/>
  <c r="B11108" i="1"/>
  <c r="B11107" i="1"/>
  <c r="B11106" i="1"/>
  <c r="B11105" i="1"/>
  <c r="B11104" i="1"/>
  <c r="B11103" i="1"/>
  <c r="B11102" i="1"/>
  <c r="B11101" i="1"/>
  <c r="B11100" i="1"/>
  <c r="B11099" i="1"/>
  <c r="B11098" i="1"/>
  <c r="B11097" i="1"/>
  <c r="B11096" i="1"/>
  <c r="B11095" i="1"/>
  <c r="B11094" i="1"/>
  <c r="B11093" i="1"/>
  <c r="B11092" i="1"/>
  <c r="B11091" i="1"/>
  <c r="B11090" i="1"/>
  <c r="B11089" i="1"/>
  <c r="B11088" i="1"/>
  <c r="B11087" i="1"/>
  <c r="B11086" i="1"/>
  <c r="B11085" i="1"/>
  <c r="B11084" i="1"/>
  <c r="B11083" i="1"/>
  <c r="B11082" i="1"/>
  <c r="B11081" i="1"/>
  <c r="B11080" i="1"/>
  <c r="B11079" i="1"/>
  <c r="B11078" i="1"/>
  <c r="B11077" i="1"/>
  <c r="B11076" i="1"/>
  <c r="B11075" i="1"/>
  <c r="B11074" i="1"/>
  <c r="B11073" i="1"/>
  <c r="B11072" i="1"/>
  <c r="B11071" i="1"/>
  <c r="B11070" i="1"/>
  <c r="B11069" i="1"/>
  <c r="B11068" i="1"/>
  <c r="B11067" i="1"/>
  <c r="B11066" i="1"/>
  <c r="B11065" i="1"/>
  <c r="B11064" i="1"/>
  <c r="B11063" i="1"/>
  <c r="B11062" i="1"/>
  <c r="B11061" i="1"/>
  <c r="B11060" i="1"/>
  <c r="B11059" i="1"/>
  <c r="B11058" i="1"/>
  <c r="B11057" i="1"/>
  <c r="B11056" i="1"/>
  <c r="B11055" i="1"/>
  <c r="B11054" i="1"/>
  <c r="B11053" i="1"/>
  <c r="B11052" i="1"/>
  <c r="B11051" i="1"/>
  <c r="B11050" i="1"/>
  <c r="B11049" i="1"/>
  <c r="B11048" i="1"/>
  <c r="B11047" i="1"/>
  <c r="B11046" i="1"/>
  <c r="B11045" i="1"/>
  <c r="B11044" i="1"/>
  <c r="B11043" i="1"/>
  <c r="B11042" i="1"/>
  <c r="B11041" i="1"/>
  <c r="B11040" i="1"/>
  <c r="B11039" i="1"/>
  <c r="B11038" i="1"/>
  <c r="B11037" i="1"/>
  <c r="B11036" i="1"/>
  <c r="B11035" i="1"/>
  <c r="B11034" i="1"/>
  <c r="B11033" i="1"/>
  <c r="B11032" i="1"/>
  <c r="B11031" i="1"/>
  <c r="B11030" i="1"/>
  <c r="B11029" i="1"/>
  <c r="B11028" i="1"/>
  <c r="B11027" i="1"/>
  <c r="B11026" i="1"/>
  <c r="B11025" i="1"/>
  <c r="B11024" i="1"/>
  <c r="B11023" i="1"/>
  <c r="B11022" i="1"/>
  <c r="B11021" i="1"/>
  <c r="B11020" i="1"/>
  <c r="B11019" i="1"/>
  <c r="B11018" i="1"/>
  <c r="B11017" i="1"/>
  <c r="B11016" i="1"/>
  <c r="B11015" i="1"/>
  <c r="B11014" i="1"/>
  <c r="B11013" i="1"/>
  <c r="B11012" i="1"/>
  <c r="B11011" i="1"/>
  <c r="B11010" i="1"/>
  <c r="B11009" i="1"/>
  <c r="B11008" i="1"/>
  <c r="B11007" i="1"/>
  <c r="B11006" i="1"/>
  <c r="B11005" i="1"/>
  <c r="B11004" i="1"/>
  <c r="B11003" i="1"/>
  <c r="B11002" i="1"/>
  <c r="B11001" i="1"/>
  <c r="B11000" i="1"/>
  <c r="B10999" i="1"/>
  <c r="B10998" i="1"/>
  <c r="B10997" i="1"/>
  <c r="B10996" i="1"/>
  <c r="B10995" i="1"/>
  <c r="B10994" i="1"/>
  <c r="B10993" i="1"/>
  <c r="B10992" i="1"/>
  <c r="B10991" i="1"/>
  <c r="B10990" i="1"/>
  <c r="B10989" i="1"/>
  <c r="B10988" i="1"/>
  <c r="B10987" i="1"/>
  <c r="B10986" i="1"/>
  <c r="B10985" i="1"/>
  <c r="B10984" i="1"/>
  <c r="B10983" i="1"/>
  <c r="B10982" i="1"/>
  <c r="B10981" i="1"/>
  <c r="B10980" i="1"/>
  <c r="B10979" i="1"/>
  <c r="B10978" i="1"/>
  <c r="B10977" i="1"/>
  <c r="B10976" i="1"/>
  <c r="B10975" i="1"/>
  <c r="B10974" i="1"/>
  <c r="B10973" i="1"/>
  <c r="B10972" i="1"/>
  <c r="B10971" i="1"/>
  <c r="B10970" i="1"/>
  <c r="B10969" i="1"/>
  <c r="B10968" i="1"/>
  <c r="B10967" i="1"/>
  <c r="B10966" i="1"/>
  <c r="B10965" i="1"/>
  <c r="B10964" i="1"/>
  <c r="B10963" i="1"/>
  <c r="B10962" i="1"/>
  <c r="B10961" i="1"/>
  <c r="B10960" i="1"/>
  <c r="B10959" i="1"/>
  <c r="B10958" i="1"/>
  <c r="B10957" i="1"/>
  <c r="B10956" i="1"/>
  <c r="B10955" i="1"/>
  <c r="B10954" i="1"/>
  <c r="B10953" i="1"/>
  <c r="B10952" i="1"/>
  <c r="B10951" i="1"/>
  <c r="B10950" i="1"/>
  <c r="B10949" i="1"/>
  <c r="B10948" i="1"/>
  <c r="B10947" i="1"/>
  <c r="B10946" i="1"/>
  <c r="B10945" i="1"/>
  <c r="B10944" i="1"/>
  <c r="B10943" i="1"/>
  <c r="B10942" i="1"/>
  <c r="B10941" i="1"/>
  <c r="B10940" i="1"/>
  <c r="B10939" i="1"/>
  <c r="B10938" i="1"/>
  <c r="B10937" i="1"/>
  <c r="B10936" i="1"/>
  <c r="B10935" i="1"/>
  <c r="B10934" i="1"/>
  <c r="B10933" i="1"/>
  <c r="B10932" i="1"/>
  <c r="B10931" i="1"/>
  <c r="B10930" i="1"/>
  <c r="B10929" i="1"/>
  <c r="B10928" i="1"/>
  <c r="B10927" i="1"/>
  <c r="B10926" i="1"/>
  <c r="B10925" i="1"/>
  <c r="B10924" i="1"/>
  <c r="B10923" i="1"/>
  <c r="B10922" i="1"/>
  <c r="B10921" i="1"/>
  <c r="B10920" i="1"/>
  <c r="B10919" i="1"/>
  <c r="B10918" i="1"/>
  <c r="B10917" i="1"/>
  <c r="B10916" i="1"/>
  <c r="B10915" i="1"/>
  <c r="B10914" i="1"/>
  <c r="B10913" i="1"/>
  <c r="B10912" i="1"/>
  <c r="B10911" i="1"/>
  <c r="B10910" i="1"/>
  <c r="B10909" i="1"/>
  <c r="B10908" i="1"/>
  <c r="B10907" i="1"/>
  <c r="B10906" i="1"/>
  <c r="B10905" i="1"/>
  <c r="B10904" i="1"/>
  <c r="B10903" i="1"/>
  <c r="B10902" i="1"/>
  <c r="B10901" i="1"/>
  <c r="B10900" i="1"/>
  <c r="B10899" i="1"/>
  <c r="B10898" i="1"/>
  <c r="B10897" i="1"/>
  <c r="B10896" i="1"/>
  <c r="B10895" i="1"/>
  <c r="B10894" i="1"/>
  <c r="B10893" i="1"/>
  <c r="B10892" i="1"/>
  <c r="B10891" i="1"/>
  <c r="B10890" i="1"/>
  <c r="B10889" i="1"/>
  <c r="B10888" i="1"/>
  <c r="B10887" i="1"/>
  <c r="B10886" i="1"/>
  <c r="B10885" i="1"/>
  <c r="B10884" i="1"/>
  <c r="B10883" i="1"/>
  <c r="B10882" i="1"/>
  <c r="B10881" i="1"/>
  <c r="B10880" i="1"/>
  <c r="B10879" i="1"/>
  <c r="B10878" i="1"/>
  <c r="B10877" i="1"/>
  <c r="B10876" i="1"/>
  <c r="B10875" i="1"/>
  <c r="B10874" i="1"/>
  <c r="B10873" i="1"/>
  <c r="B10872" i="1"/>
  <c r="B10871" i="1"/>
  <c r="B10870" i="1"/>
  <c r="B10869" i="1"/>
  <c r="B10868" i="1"/>
  <c r="B10867" i="1"/>
  <c r="B10866" i="1"/>
  <c r="B10865" i="1"/>
  <c r="B10864" i="1"/>
  <c r="B10863" i="1"/>
  <c r="B10862" i="1"/>
  <c r="B10861" i="1"/>
  <c r="B10860" i="1"/>
  <c r="B10859" i="1"/>
  <c r="B10858" i="1"/>
  <c r="B10857" i="1"/>
  <c r="B10856" i="1"/>
  <c r="B10855" i="1"/>
  <c r="B10854" i="1"/>
  <c r="B10853" i="1"/>
  <c r="B10852" i="1"/>
  <c r="B10851" i="1"/>
  <c r="B10850" i="1"/>
  <c r="B10849" i="1"/>
  <c r="B10848" i="1"/>
  <c r="B10847" i="1"/>
  <c r="B10846" i="1"/>
  <c r="B10845" i="1"/>
  <c r="B10844" i="1"/>
  <c r="B10843" i="1"/>
  <c r="B10842" i="1"/>
  <c r="B10841" i="1"/>
  <c r="B10840" i="1"/>
  <c r="B10839" i="1"/>
  <c r="B10838" i="1"/>
  <c r="B10837" i="1"/>
  <c r="B10836" i="1"/>
  <c r="B10835" i="1"/>
  <c r="B10834" i="1"/>
  <c r="B10833" i="1"/>
  <c r="B10832" i="1"/>
  <c r="B10831" i="1"/>
  <c r="B10830" i="1"/>
  <c r="B10829" i="1"/>
  <c r="B10828" i="1"/>
  <c r="B10827" i="1"/>
  <c r="B10826" i="1"/>
  <c r="B10825" i="1"/>
  <c r="B10824" i="1"/>
  <c r="B10823" i="1"/>
  <c r="B10822" i="1"/>
  <c r="B10821" i="1"/>
  <c r="B10820" i="1"/>
  <c r="B10819" i="1"/>
  <c r="B10818" i="1"/>
  <c r="B10817" i="1"/>
  <c r="B10816" i="1"/>
  <c r="B10815" i="1"/>
  <c r="B10814" i="1"/>
  <c r="B10813" i="1"/>
  <c r="B10812" i="1"/>
  <c r="B10811" i="1"/>
  <c r="B10810" i="1"/>
  <c r="B10809" i="1"/>
  <c r="B10808" i="1"/>
  <c r="B10807" i="1"/>
  <c r="B10806" i="1"/>
  <c r="B10805" i="1"/>
  <c r="B10804" i="1"/>
  <c r="B10803" i="1"/>
  <c r="B10802" i="1"/>
  <c r="B10801" i="1"/>
  <c r="B10800" i="1"/>
  <c r="B10799" i="1"/>
  <c r="B10798" i="1"/>
  <c r="B10797" i="1"/>
  <c r="B10796" i="1"/>
  <c r="B10795" i="1"/>
  <c r="B10794" i="1"/>
  <c r="B10793" i="1"/>
  <c r="B10792" i="1"/>
  <c r="B10791" i="1"/>
  <c r="B10790" i="1"/>
  <c r="B10789" i="1"/>
  <c r="B10788" i="1"/>
  <c r="B10787" i="1"/>
  <c r="B10786" i="1"/>
  <c r="B10785" i="1"/>
  <c r="B10784" i="1"/>
  <c r="B10783" i="1"/>
  <c r="B10782" i="1"/>
  <c r="B10781" i="1"/>
  <c r="B10780" i="1"/>
  <c r="B10779" i="1"/>
  <c r="B10778" i="1"/>
  <c r="B10777" i="1"/>
  <c r="B10776" i="1"/>
  <c r="B10775" i="1"/>
  <c r="B10774" i="1"/>
  <c r="B10773" i="1"/>
  <c r="B10772" i="1"/>
  <c r="B10771" i="1"/>
  <c r="B10770" i="1"/>
  <c r="B10769" i="1"/>
  <c r="B10768" i="1"/>
  <c r="B10767" i="1"/>
  <c r="B10766" i="1"/>
  <c r="B10765" i="1"/>
  <c r="B10764" i="1"/>
  <c r="B10763" i="1"/>
  <c r="B10762" i="1"/>
  <c r="B10761" i="1"/>
  <c r="B10760" i="1"/>
  <c r="B10759" i="1"/>
  <c r="B10758" i="1"/>
  <c r="B10757" i="1"/>
  <c r="B10756" i="1"/>
  <c r="B10755" i="1"/>
  <c r="B10754" i="1"/>
  <c r="B10753" i="1"/>
  <c r="B10752" i="1"/>
  <c r="B10751" i="1"/>
  <c r="B10750" i="1"/>
  <c r="B10749" i="1"/>
  <c r="B10748" i="1"/>
  <c r="B10747" i="1"/>
  <c r="B10746" i="1"/>
  <c r="B10745" i="1"/>
  <c r="B10744" i="1"/>
  <c r="B10743" i="1"/>
  <c r="B10742" i="1"/>
  <c r="B10741" i="1"/>
  <c r="B10740" i="1"/>
  <c r="B10739" i="1"/>
  <c r="B10738" i="1"/>
  <c r="B10737" i="1"/>
  <c r="B10736" i="1"/>
  <c r="B10735" i="1"/>
  <c r="B10734" i="1"/>
  <c r="B10733" i="1"/>
  <c r="B10732" i="1"/>
  <c r="B10731" i="1"/>
  <c r="B10730" i="1"/>
  <c r="B10729" i="1"/>
  <c r="B10728" i="1"/>
  <c r="B10727" i="1"/>
  <c r="B10726" i="1"/>
  <c r="B10725" i="1"/>
  <c r="B10724" i="1"/>
  <c r="B10723" i="1"/>
  <c r="B10722" i="1"/>
  <c r="B10721" i="1"/>
  <c r="B10720" i="1"/>
  <c r="B10719" i="1"/>
  <c r="B10718" i="1"/>
  <c r="B10717" i="1"/>
  <c r="B10716" i="1"/>
  <c r="B10715" i="1"/>
  <c r="B10714" i="1"/>
  <c r="B10713" i="1"/>
  <c r="B10712" i="1"/>
  <c r="B10711" i="1"/>
  <c r="B10710" i="1"/>
  <c r="B10709" i="1"/>
  <c r="B10708" i="1"/>
  <c r="B10707" i="1"/>
  <c r="B10706" i="1"/>
  <c r="B10705" i="1"/>
  <c r="B10704" i="1"/>
  <c r="B10703" i="1"/>
  <c r="B10702" i="1"/>
  <c r="B10701" i="1"/>
  <c r="B10700" i="1"/>
  <c r="B10699" i="1"/>
  <c r="B10698" i="1"/>
  <c r="B10697" i="1"/>
  <c r="B10696" i="1"/>
  <c r="B10695" i="1"/>
  <c r="B10694" i="1"/>
  <c r="B10693" i="1"/>
  <c r="B10692" i="1"/>
  <c r="B10691" i="1"/>
  <c r="B10690" i="1"/>
  <c r="B10689" i="1"/>
  <c r="B10688" i="1"/>
  <c r="B10687" i="1"/>
  <c r="B10686" i="1"/>
  <c r="B10685" i="1"/>
  <c r="B10684" i="1"/>
  <c r="B10683" i="1"/>
  <c r="B10682" i="1"/>
  <c r="B10681" i="1"/>
  <c r="B10680" i="1"/>
  <c r="B10679" i="1"/>
  <c r="B10678" i="1"/>
  <c r="B10677" i="1"/>
  <c r="B10676" i="1"/>
  <c r="B10675" i="1"/>
  <c r="B10674" i="1"/>
  <c r="B10673" i="1"/>
  <c r="B10672" i="1"/>
  <c r="B10671" i="1"/>
  <c r="B10670" i="1"/>
  <c r="B10669" i="1"/>
  <c r="B10668" i="1"/>
  <c r="B10667" i="1"/>
  <c r="B10666" i="1"/>
  <c r="B10665" i="1"/>
  <c r="B10664" i="1"/>
  <c r="B10663" i="1"/>
  <c r="B10662" i="1"/>
  <c r="B10661" i="1"/>
  <c r="B10660" i="1"/>
  <c r="B10659" i="1"/>
  <c r="B10658" i="1"/>
  <c r="B10657" i="1"/>
  <c r="B10656" i="1"/>
  <c r="B10655" i="1"/>
  <c r="B10654" i="1"/>
  <c r="B10653" i="1"/>
  <c r="B10652" i="1"/>
  <c r="B10651" i="1"/>
  <c r="B10650" i="1"/>
  <c r="B10649" i="1"/>
  <c r="B10648" i="1"/>
  <c r="B10647" i="1"/>
  <c r="B10646" i="1"/>
  <c r="B10645" i="1"/>
  <c r="B10644" i="1"/>
  <c r="B10643" i="1"/>
  <c r="B10642" i="1"/>
  <c r="B10641" i="1"/>
  <c r="B10640" i="1"/>
  <c r="B10639" i="1"/>
  <c r="B10638" i="1"/>
  <c r="B10637" i="1"/>
  <c r="B10636" i="1"/>
  <c r="B10635" i="1"/>
  <c r="B10634" i="1"/>
  <c r="B10633" i="1"/>
  <c r="B10632" i="1"/>
  <c r="B10631" i="1"/>
  <c r="B10630" i="1"/>
  <c r="B10629" i="1"/>
  <c r="B10628" i="1"/>
  <c r="B10627" i="1"/>
  <c r="B10626" i="1"/>
  <c r="B10625" i="1"/>
  <c r="B10624" i="1"/>
  <c r="B10623" i="1"/>
  <c r="B10622" i="1"/>
  <c r="B10621" i="1"/>
  <c r="B10620" i="1"/>
  <c r="B10619" i="1"/>
  <c r="B10618" i="1"/>
  <c r="B10617" i="1"/>
  <c r="B10616" i="1"/>
  <c r="B10615" i="1"/>
  <c r="B10614" i="1"/>
  <c r="B10613" i="1"/>
  <c r="B10612" i="1"/>
  <c r="B10611" i="1"/>
  <c r="B10610" i="1"/>
  <c r="B10609" i="1"/>
  <c r="B10608" i="1"/>
  <c r="B10607" i="1"/>
  <c r="B10606" i="1"/>
  <c r="B10605" i="1"/>
  <c r="B10604" i="1"/>
  <c r="B10603" i="1"/>
  <c r="B10602" i="1"/>
  <c r="B10601" i="1"/>
  <c r="B10600" i="1"/>
  <c r="B10599" i="1"/>
  <c r="B10598" i="1"/>
  <c r="B10597" i="1"/>
  <c r="B10596" i="1"/>
  <c r="B10595" i="1"/>
  <c r="B10594" i="1"/>
  <c r="B10593" i="1"/>
  <c r="B10592" i="1"/>
  <c r="B10591" i="1"/>
  <c r="B10590" i="1"/>
  <c r="B10589" i="1"/>
  <c r="B10588" i="1"/>
  <c r="B10587" i="1"/>
  <c r="B10586" i="1"/>
  <c r="B10585" i="1"/>
  <c r="B10584" i="1"/>
  <c r="B10583" i="1"/>
  <c r="B10582" i="1"/>
  <c r="B10581" i="1"/>
  <c r="B10580" i="1"/>
  <c r="B10579" i="1"/>
  <c r="B10578" i="1"/>
  <c r="B10577" i="1"/>
  <c r="B10576" i="1"/>
  <c r="B10575" i="1"/>
  <c r="B10574" i="1"/>
  <c r="B10573" i="1"/>
  <c r="B10572" i="1"/>
  <c r="B10571" i="1"/>
  <c r="B10570" i="1"/>
  <c r="B10569" i="1"/>
  <c r="B10568" i="1"/>
  <c r="B10567" i="1"/>
  <c r="B10566" i="1"/>
  <c r="B10565" i="1"/>
  <c r="B10564" i="1"/>
  <c r="B10563" i="1"/>
  <c r="B10562" i="1"/>
  <c r="B10561" i="1"/>
  <c r="B10560" i="1"/>
  <c r="B10559" i="1"/>
  <c r="B10558" i="1"/>
  <c r="B10557" i="1"/>
  <c r="B10556" i="1"/>
  <c r="B10555" i="1"/>
  <c r="B10554" i="1"/>
  <c r="B10553" i="1"/>
  <c r="B10552" i="1"/>
  <c r="B10551" i="1"/>
  <c r="B10550" i="1"/>
  <c r="B10549" i="1"/>
  <c r="B10548" i="1"/>
  <c r="B10547" i="1"/>
  <c r="B10546" i="1"/>
  <c r="B10545" i="1"/>
  <c r="B10544" i="1"/>
  <c r="B10543" i="1"/>
  <c r="B10542" i="1"/>
  <c r="B10541" i="1"/>
  <c r="B10540" i="1"/>
  <c r="B10539" i="1"/>
  <c r="B10538" i="1"/>
  <c r="B10537" i="1"/>
  <c r="B10536" i="1"/>
  <c r="B10535" i="1"/>
  <c r="B10534" i="1"/>
  <c r="B10533" i="1"/>
  <c r="B10532" i="1"/>
  <c r="B10531" i="1"/>
  <c r="B10530" i="1"/>
  <c r="B10529" i="1"/>
  <c r="B10528" i="1"/>
  <c r="B10527" i="1"/>
  <c r="B10526" i="1"/>
  <c r="B10525" i="1"/>
  <c r="B10524" i="1"/>
  <c r="B10523" i="1"/>
  <c r="B10522" i="1"/>
  <c r="B10521" i="1"/>
  <c r="B10520" i="1"/>
  <c r="B10519" i="1"/>
  <c r="B10518" i="1"/>
  <c r="B10517" i="1"/>
  <c r="B10516" i="1"/>
  <c r="B10515" i="1"/>
  <c r="B10514" i="1"/>
  <c r="B10513" i="1"/>
  <c r="B10512" i="1"/>
  <c r="B10511" i="1"/>
  <c r="B10510" i="1"/>
  <c r="B10509" i="1"/>
  <c r="B10508" i="1"/>
  <c r="B10507" i="1"/>
  <c r="B10506" i="1"/>
  <c r="B10505" i="1"/>
  <c r="B10504" i="1"/>
  <c r="B10503" i="1"/>
  <c r="B10502" i="1"/>
  <c r="B10501" i="1"/>
  <c r="B10500" i="1"/>
  <c r="B10499" i="1"/>
  <c r="B10498" i="1"/>
  <c r="B10497" i="1"/>
  <c r="B10496" i="1"/>
  <c r="B10495" i="1"/>
  <c r="B10494" i="1"/>
  <c r="B10493" i="1"/>
  <c r="B10492" i="1"/>
  <c r="B10491" i="1"/>
  <c r="B10490" i="1"/>
  <c r="B10489" i="1"/>
  <c r="B10488" i="1"/>
  <c r="B10487" i="1"/>
  <c r="B10486" i="1"/>
  <c r="B10485" i="1"/>
  <c r="B10484" i="1"/>
  <c r="B10483" i="1"/>
  <c r="B10482" i="1"/>
  <c r="B10481" i="1"/>
  <c r="B10480" i="1"/>
  <c r="B10479" i="1"/>
  <c r="B10478" i="1"/>
  <c r="B10477" i="1"/>
  <c r="B10476" i="1"/>
  <c r="B10475" i="1"/>
  <c r="B10474" i="1"/>
  <c r="B10473" i="1"/>
  <c r="B10472" i="1"/>
  <c r="B10471" i="1"/>
  <c r="B10470" i="1"/>
  <c r="B10469" i="1"/>
  <c r="B10468" i="1"/>
  <c r="B10467" i="1"/>
  <c r="B10466" i="1"/>
  <c r="B10465" i="1"/>
  <c r="B10464" i="1"/>
  <c r="B10463" i="1"/>
  <c r="B10462" i="1"/>
  <c r="B10461" i="1"/>
  <c r="B10460" i="1"/>
  <c r="B10459" i="1"/>
  <c r="B10458" i="1"/>
  <c r="B10457" i="1"/>
  <c r="B10456" i="1"/>
  <c r="B10455" i="1"/>
  <c r="B10454" i="1"/>
  <c r="B10453" i="1"/>
  <c r="B10452" i="1"/>
  <c r="B10451" i="1"/>
  <c r="B10450" i="1"/>
  <c r="B10449" i="1"/>
  <c r="B10448" i="1"/>
  <c r="B10447" i="1"/>
  <c r="B10446" i="1"/>
  <c r="B10445" i="1"/>
  <c r="B10444" i="1"/>
  <c r="B10443" i="1"/>
  <c r="B10442" i="1"/>
  <c r="B10441" i="1"/>
  <c r="B10440" i="1"/>
  <c r="B10439" i="1"/>
  <c r="B10438" i="1"/>
  <c r="B10437" i="1"/>
  <c r="B10436" i="1"/>
  <c r="B10435" i="1"/>
  <c r="B10434" i="1"/>
  <c r="B10433" i="1"/>
  <c r="B10432" i="1"/>
  <c r="B10431" i="1"/>
  <c r="B10430" i="1"/>
  <c r="B10429" i="1"/>
  <c r="B10428" i="1"/>
  <c r="B10427" i="1"/>
  <c r="B10426" i="1"/>
  <c r="B10425" i="1"/>
  <c r="B10424" i="1"/>
  <c r="B10423" i="1"/>
  <c r="B10422" i="1"/>
  <c r="B10421" i="1"/>
  <c r="B10420" i="1"/>
  <c r="B10419" i="1"/>
  <c r="B10418" i="1"/>
  <c r="B10417" i="1"/>
  <c r="B10416" i="1"/>
  <c r="B10415" i="1"/>
  <c r="B10414" i="1"/>
  <c r="B10413" i="1"/>
  <c r="B10412" i="1"/>
  <c r="B10411" i="1"/>
  <c r="B10410" i="1"/>
  <c r="B10409" i="1"/>
  <c r="B10408" i="1"/>
  <c r="B10407" i="1"/>
  <c r="B10406" i="1"/>
  <c r="B10405" i="1"/>
  <c r="B10404" i="1"/>
  <c r="B10403" i="1"/>
  <c r="B10402" i="1"/>
  <c r="B10401" i="1"/>
  <c r="B10400" i="1"/>
  <c r="B10399" i="1"/>
  <c r="B10398" i="1"/>
  <c r="B10397" i="1"/>
  <c r="B10396" i="1"/>
  <c r="B10395" i="1"/>
  <c r="B10394" i="1"/>
  <c r="B10393" i="1"/>
  <c r="B10392" i="1"/>
  <c r="B10391" i="1"/>
  <c r="B10390" i="1"/>
  <c r="B10389" i="1"/>
  <c r="B10388" i="1"/>
  <c r="B10387" i="1"/>
  <c r="B10386" i="1"/>
  <c r="B10385" i="1"/>
  <c r="B10384" i="1"/>
  <c r="B10383" i="1"/>
  <c r="B10382" i="1"/>
  <c r="B10381" i="1"/>
  <c r="B10380" i="1"/>
  <c r="B10379" i="1"/>
  <c r="B10378" i="1"/>
  <c r="B10377" i="1"/>
  <c r="B10376" i="1"/>
  <c r="B10375" i="1"/>
  <c r="B10374" i="1"/>
  <c r="B10373" i="1"/>
  <c r="B10372" i="1"/>
  <c r="B10371" i="1"/>
  <c r="B10370" i="1"/>
  <c r="B10369" i="1"/>
  <c r="B10368" i="1"/>
  <c r="B10367" i="1"/>
  <c r="B10366" i="1"/>
  <c r="B10365" i="1"/>
  <c r="B10364" i="1"/>
  <c r="B10363" i="1"/>
  <c r="B10362" i="1"/>
  <c r="B10361" i="1"/>
  <c r="B10360" i="1"/>
  <c r="B10359" i="1"/>
  <c r="B10358" i="1"/>
  <c r="B10357" i="1"/>
  <c r="B10356" i="1"/>
  <c r="B10355" i="1"/>
  <c r="B10354" i="1"/>
  <c r="B10353" i="1"/>
  <c r="B10352" i="1"/>
  <c r="B10351" i="1"/>
  <c r="B10350" i="1"/>
  <c r="B10349" i="1"/>
  <c r="B10348" i="1"/>
  <c r="B10347" i="1"/>
  <c r="B10346" i="1"/>
  <c r="B10345" i="1"/>
  <c r="B10344" i="1"/>
  <c r="B10343" i="1"/>
  <c r="B10342" i="1"/>
  <c r="B10341" i="1"/>
  <c r="B10340" i="1"/>
  <c r="B10339" i="1"/>
  <c r="B10338" i="1"/>
  <c r="B10337" i="1"/>
  <c r="B10336" i="1"/>
  <c r="B10335" i="1"/>
  <c r="B10334" i="1"/>
  <c r="B10333" i="1"/>
  <c r="B10332" i="1"/>
  <c r="B10331" i="1"/>
  <c r="B10330" i="1"/>
  <c r="B10329" i="1"/>
  <c r="B10328" i="1"/>
  <c r="B10327" i="1"/>
  <c r="B10326" i="1"/>
  <c r="B10325" i="1"/>
  <c r="B10324" i="1"/>
  <c r="B10323" i="1"/>
  <c r="B10322" i="1"/>
  <c r="B10321" i="1"/>
  <c r="B10320" i="1"/>
  <c r="B10319" i="1"/>
  <c r="B10318" i="1"/>
  <c r="B10317" i="1"/>
  <c r="B10316" i="1"/>
  <c r="B10315" i="1"/>
  <c r="B10314" i="1"/>
  <c r="B10313" i="1"/>
  <c r="B10312" i="1"/>
  <c r="B10311" i="1"/>
  <c r="B10310" i="1"/>
  <c r="B10309" i="1"/>
  <c r="B10308" i="1"/>
  <c r="B10307" i="1"/>
  <c r="B10306" i="1"/>
  <c r="B10305" i="1"/>
  <c r="B10304" i="1"/>
  <c r="B10303" i="1"/>
  <c r="B10302" i="1"/>
  <c r="B10301" i="1"/>
  <c r="B10300" i="1"/>
  <c r="B10299" i="1"/>
  <c r="B10298" i="1"/>
  <c r="B10297" i="1"/>
  <c r="B10296" i="1"/>
  <c r="B10295" i="1"/>
  <c r="B10294" i="1"/>
  <c r="B10293" i="1"/>
  <c r="B10292" i="1"/>
  <c r="B10291" i="1"/>
  <c r="B10290" i="1"/>
  <c r="B10289" i="1"/>
  <c r="B10288" i="1"/>
  <c r="B10287" i="1"/>
  <c r="B10286" i="1"/>
  <c r="B10285" i="1"/>
  <c r="B10284" i="1"/>
  <c r="B10283" i="1"/>
  <c r="B10282" i="1"/>
  <c r="B10281" i="1"/>
  <c r="B10280" i="1"/>
  <c r="B10279" i="1"/>
  <c r="B10278" i="1"/>
  <c r="B10277" i="1"/>
  <c r="B10276" i="1"/>
  <c r="B10275" i="1"/>
  <c r="B10274" i="1"/>
  <c r="B10273" i="1"/>
  <c r="B10272" i="1"/>
  <c r="B10271" i="1"/>
  <c r="B10270" i="1"/>
  <c r="B10269" i="1"/>
  <c r="B10268" i="1"/>
  <c r="B10267" i="1"/>
  <c r="B10266" i="1"/>
  <c r="B10265" i="1"/>
  <c r="B10264" i="1"/>
  <c r="B10263" i="1"/>
  <c r="B10262" i="1"/>
  <c r="B10261" i="1"/>
  <c r="B10260" i="1"/>
  <c r="B10259" i="1"/>
  <c r="B10258" i="1"/>
  <c r="B10257" i="1"/>
  <c r="B10256" i="1"/>
  <c r="B10255" i="1"/>
  <c r="B10254" i="1"/>
  <c r="B10253" i="1"/>
  <c r="B10252" i="1"/>
  <c r="B10251" i="1"/>
  <c r="B10250" i="1"/>
  <c r="B10249" i="1"/>
  <c r="B10248" i="1"/>
  <c r="B10247" i="1"/>
  <c r="B10246" i="1"/>
  <c r="B10245" i="1"/>
  <c r="B10244" i="1"/>
  <c r="B10243" i="1"/>
  <c r="B10242" i="1"/>
  <c r="B10241" i="1"/>
  <c r="B10240" i="1"/>
  <c r="B10239" i="1"/>
  <c r="B10238" i="1"/>
  <c r="B10237" i="1"/>
  <c r="B10236" i="1"/>
  <c r="B10235" i="1"/>
  <c r="B10234" i="1"/>
  <c r="B10233" i="1"/>
  <c r="B10232" i="1"/>
  <c r="B10231" i="1"/>
  <c r="B10230" i="1"/>
  <c r="B10229" i="1"/>
  <c r="B10228" i="1"/>
  <c r="B10227" i="1"/>
  <c r="B10226" i="1"/>
  <c r="B10225" i="1"/>
  <c r="B10224" i="1"/>
  <c r="B10223" i="1"/>
  <c r="B10222" i="1"/>
  <c r="B10221" i="1"/>
  <c r="B10220" i="1"/>
  <c r="B10219" i="1"/>
  <c r="B10218" i="1"/>
  <c r="B10217" i="1"/>
  <c r="B10216" i="1"/>
  <c r="B10215" i="1"/>
  <c r="B10214" i="1"/>
  <c r="B10213" i="1"/>
  <c r="B10212" i="1"/>
  <c r="B10211" i="1"/>
  <c r="B10210" i="1"/>
  <c r="B10209" i="1"/>
  <c r="B10208" i="1"/>
  <c r="B10207" i="1"/>
  <c r="B10206" i="1"/>
  <c r="B10205" i="1"/>
  <c r="B10204" i="1"/>
  <c r="B10203" i="1"/>
  <c r="B10202" i="1"/>
  <c r="B10201" i="1"/>
  <c r="B10200" i="1"/>
  <c r="B10199" i="1"/>
  <c r="B10198" i="1"/>
  <c r="B10197" i="1"/>
  <c r="B10196" i="1"/>
  <c r="B10195" i="1"/>
  <c r="B10194" i="1"/>
  <c r="B10193" i="1"/>
  <c r="B10192" i="1"/>
  <c r="B10191" i="1"/>
  <c r="B10190" i="1"/>
  <c r="B10189" i="1"/>
  <c r="B10188" i="1"/>
  <c r="B10187" i="1"/>
  <c r="B10186" i="1"/>
  <c r="B10185" i="1"/>
  <c r="B10184" i="1"/>
  <c r="B10183" i="1"/>
  <c r="B10182" i="1"/>
  <c r="B10181" i="1"/>
  <c r="B10180" i="1"/>
  <c r="B10179" i="1"/>
  <c r="B10178" i="1"/>
  <c r="B10177" i="1"/>
  <c r="B10176" i="1"/>
  <c r="B10175" i="1"/>
  <c r="B10174" i="1"/>
  <c r="B10173" i="1"/>
  <c r="B10172" i="1"/>
  <c r="B10171" i="1"/>
  <c r="B10170" i="1"/>
  <c r="B10169" i="1"/>
  <c r="B10168" i="1"/>
  <c r="B10167" i="1"/>
  <c r="B10166" i="1"/>
  <c r="B10165" i="1"/>
  <c r="B10164" i="1"/>
  <c r="B10163" i="1"/>
  <c r="B10162" i="1"/>
  <c r="B10161" i="1"/>
  <c r="B10160" i="1"/>
  <c r="B10159" i="1"/>
  <c r="B10158" i="1"/>
  <c r="B10157" i="1"/>
  <c r="B10156" i="1"/>
  <c r="B10155" i="1"/>
  <c r="B10154" i="1"/>
  <c r="B10153" i="1"/>
  <c r="B10152" i="1"/>
  <c r="B10151" i="1"/>
  <c r="B10150" i="1"/>
  <c r="B10149" i="1"/>
  <c r="B10148" i="1"/>
  <c r="B10147" i="1"/>
  <c r="B10146" i="1"/>
  <c r="B10145" i="1"/>
  <c r="B10144" i="1"/>
  <c r="B10143" i="1"/>
  <c r="B10142" i="1"/>
  <c r="B10141" i="1"/>
  <c r="B10140" i="1"/>
  <c r="B10139" i="1"/>
  <c r="B10138" i="1"/>
  <c r="B10137" i="1"/>
  <c r="B10136" i="1"/>
  <c r="B10135" i="1"/>
  <c r="B10134" i="1"/>
  <c r="B10133" i="1"/>
  <c r="B10132" i="1"/>
  <c r="B10131" i="1"/>
  <c r="B10130" i="1"/>
  <c r="B10129" i="1"/>
  <c r="B10128" i="1"/>
  <c r="B10127" i="1"/>
  <c r="B10126" i="1"/>
  <c r="B10125" i="1"/>
  <c r="B10124" i="1"/>
  <c r="B10123" i="1"/>
  <c r="B10122" i="1"/>
  <c r="B10121" i="1"/>
  <c r="B10120" i="1"/>
  <c r="B10119" i="1"/>
  <c r="B10118" i="1"/>
  <c r="B10117" i="1"/>
  <c r="B10116" i="1"/>
  <c r="B10115" i="1"/>
  <c r="B10114" i="1"/>
  <c r="B10113" i="1"/>
  <c r="B10112" i="1"/>
  <c r="B10111" i="1"/>
  <c r="B10110" i="1"/>
  <c r="B10109" i="1"/>
  <c r="B10108" i="1"/>
  <c r="B10107" i="1"/>
  <c r="B10106" i="1"/>
  <c r="B10105" i="1"/>
  <c r="B10104" i="1"/>
  <c r="B10103" i="1"/>
  <c r="B10102" i="1"/>
  <c r="B10101" i="1"/>
  <c r="B10100" i="1"/>
  <c r="B10099" i="1"/>
  <c r="B10098" i="1"/>
  <c r="B10097" i="1"/>
  <c r="B10096" i="1"/>
  <c r="B10095" i="1"/>
  <c r="B10094" i="1"/>
  <c r="B10093" i="1"/>
  <c r="B10092" i="1"/>
  <c r="B10091" i="1"/>
  <c r="B10090" i="1"/>
  <c r="B10089" i="1"/>
  <c r="B10088" i="1"/>
  <c r="B10087" i="1"/>
  <c r="B10086" i="1"/>
  <c r="B10085" i="1"/>
  <c r="B10084" i="1"/>
  <c r="B10083" i="1"/>
  <c r="B10082" i="1"/>
  <c r="B10081" i="1"/>
  <c r="B10080" i="1"/>
  <c r="B10079" i="1"/>
  <c r="B10078" i="1"/>
  <c r="B10077" i="1"/>
  <c r="B10076" i="1"/>
  <c r="B10075" i="1"/>
  <c r="B10074" i="1"/>
  <c r="B10073" i="1"/>
  <c r="B10072" i="1"/>
  <c r="B10071" i="1"/>
  <c r="B10070" i="1"/>
  <c r="B10069" i="1"/>
  <c r="B10068" i="1"/>
  <c r="B10067" i="1"/>
  <c r="B10066" i="1"/>
  <c r="B10065" i="1"/>
  <c r="B10064" i="1"/>
  <c r="B10063" i="1"/>
  <c r="B10062" i="1"/>
  <c r="B10061" i="1"/>
  <c r="B10060" i="1"/>
  <c r="B10059" i="1"/>
  <c r="B10058" i="1"/>
  <c r="B10057" i="1"/>
  <c r="B10056" i="1"/>
  <c r="B10055" i="1"/>
  <c r="B10054" i="1"/>
  <c r="B10053" i="1"/>
  <c r="B10052" i="1"/>
  <c r="B10051" i="1"/>
  <c r="B10050" i="1"/>
  <c r="B10049" i="1"/>
  <c r="B10048" i="1"/>
  <c r="B10047" i="1"/>
  <c r="B10046" i="1"/>
  <c r="B10045" i="1"/>
  <c r="B10044" i="1"/>
  <c r="B10043" i="1"/>
  <c r="B10042" i="1"/>
  <c r="B10041" i="1"/>
  <c r="B10040" i="1"/>
  <c r="B10039" i="1"/>
  <c r="B10038" i="1"/>
  <c r="B10037" i="1"/>
  <c r="B10036" i="1"/>
  <c r="B10035" i="1"/>
  <c r="B10034" i="1"/>
  <c r="B10033" i="1"/>
  <c r="B10032" i="1"/>
  <c r="B10031" i="1"/>
  <c r="B10030" i="1"/>
  <c r="B10029" i="1"/>
  <c r="B10028" i="1"/>
  <c r="B10027" i="1"/>
  <c r="B10026" i="1"/>
  <c r="B10025" i="1"/>
  <c r="B10024" i="1"/>
  <c r="B10023" i="1"/>
  <c r="B10022" i="1"/>
  <c r="B10021" i="1"/>
  <c r="B10020" i="1"/>
  <c r="B10019" i="1"/>
  <c r="B10018" i="1"/>
  <c r="B10017" i="1"/>
  <c r="B10016" i="1"/>
  <c r="B10015" i="1"/>
  <c r="B10014" i="1"/>
  <c r="B10013" i="1"/>
  <c r="B10012" i="1"/>
  <c r="B10011" i="1"/>
  <c r="B10010" i="1"/>
  <c r="B10009" i="1"/>
  <c r="B10008" i="1"/>
  <c r="B10007" i="1"/>
  <c r="B10006" i="1"/>
  <c r="B10005" i="1"/>
  <c r="B10004" i="1"/>
  <c r="B10003" i="1"/>
  <c r="B10002" i="1"/>
  <c r="B10001" i="1"/>
  <c r="B10000" i="1"/>
  <c r="B9999" i="1"/>
  <c r="B9998" i="1"/>
  <c r="B9997" i="1"/>
  <c r="B9996" i="1"/>
  <c r="B9995" i="1"/>
  <c r="B9994" i="1"/>
  <c r="B9993" i="1"/>
  <c r="B9992" i="1"/>
  <c r="B9991" i="1"/>
  <c r="B9990" i="1"/>
  <c r="B9989" i="1"/>
  <c r="B9988" i="1"/>
  <c r="B9987" i="1"/>
  <c r="B9986" i="1"/>
  <c r="B9985" i="1"/>
  <c r="B9984" i="1"/>
  <c r="B9983" i="1"/>
  <c r="B9982" i="1"/>
  <c r="B9981" i="1"/>
  <c r="B9980" i="1"/>
  <c r="B9979" i="1"/>
  <c r="B9978" i="1"/>
  <c r="B9977" i="1"/>
  <c r="B9976" i="1"/>
  <c r="B9975" i="1"/>
  <c r="B9974" i="1"/>
  <c r="B9973" i="1"/>
  <c r="B9972" i="1"/>
  <c r="B9971" i="1"/>
  <c r="B9970" i="1"/>
  <c r="B9969" i="1"/>
  <c r="B9968" i="1"/>
  <c r="B9967" i="1"/>
  <c r="B9966" i="1"/>
  <c r="B9965" i="1"/>
  <c r="B9964" i="1"/>
  <c r="B9963" i="1"/>
  <c r="B9962" i="1"/>
  <c r="B9961" i="1"/>
  <c r="B9960" i="1"/>
  <c r="B9959" i="1"/>
  <c r="B9958" i="1"/>
  <c r="B9957" i="1"/>
  <c r="B9956" i="1"/>
  <c r="B9955" i="1"/>
  <c r="B9954" i="1"/>
  <c r="B9953" i="1"/>
  <c r="B9952" i="1"/>
  <c r="B9951" i="1"/>
  <c r="B9950" i="1"/>
  <c r="B9949" i="1"/>
  <c r="B9948" i="1"/>
  <c r="B9947" i="1"/>
  <c r="B9946" i="1"/>
  <c r="B9945" i="1"/>
  <c r="B9944" i="1"/>
  <c r="B9943" i="1"/>
  <c r="B9942" i="1"/>
  <c r="B9941" i="1"/>
  <c r="B9940" i="1"/>
  <c r="B9939" i="1"/>
  <c r="B9938" i="1"/>
  <c r="B9937" i="1"/>
  <c r="B9936" i="1"/>
  <c r="B9935" i="1"/>
  <c r="B9934" i="1"/>
  <c r="B9933" i="1"/>
  <c r="B9932" i="1"/>
  <c r="B9931" i="1"/>
  <c r="B9930" i="1"/>
  <c r="B9929" i="1"/>
  <c r="B9928" i="1"/>
  <c r="B9927" i="1"/>
  <c r="B9926" i="1"/>
  <c r="B9925" i="1"/>
  <c r="B9924" i="1"/>
  <c r="B9923" i="1"/>
  <c r="B9922" i="1"/>
  <c r="B9921" i="1"/>
  <c r="B9920" i="1"/>
  <c r="B9919" i="1"/>
  <c r="B9918" i="1"/>
  <c r="B9917" i="1"/>
  <c r="B9916" i="1"/>
  <c r="B9915" i="1"/>
  <c r="B9914" i="1"/>
  <c r="B9913" i="1"/>
  <c r="B9912" i="1"/>
  <c r="B9911" i="1"/>
  <c r="B9910" i="1"/>
  <c r="B9909" i="1"/>
  <c r="B9908" i="1"/>
  <c r="B9907" i="1"/>
  <c r="B9906" i="1"/>
  <c r="B9905" i="1"/>
  <c r="B9904" i="1"/>
  <c r="B9903" i="1"/>
  <c r="B9902" i="1"/>
  <c r="B9901" i="1"/>
  <c r="B9900" i="1"/>
  <c r="B9899" i="1"/>
  <c r="B9898" i="1"/>
  <c r="B9897" i="1"/>
  <c r="B9896" i="1"/>
  <c r="B9895" i="1"/>
  <c r="B9894" i="1"/>
  <c r="B9893" i="1"/>
  <c r="B9892" i="1"/>
  <c r="B9891" i="1"/>
  <c r="B9890" i="1"/>
  <c r="B9889" i="1"/>
  <c r="B9888" i="1"/>
  <c r="B9887" i="1"/>
  <c r="B9886" i="1"/>
  <c r="B9885" i="1"/>
  <c r="B9884" i="1"/>
  <c r="B9883" i="1"/>
  <c r="B9882" i="1"/>
  <c r="B9881" i="1"/>
  <c r="B9880" i="1"/>
  <c r="B9879" i="1"/>
  <c r="B9878" i="1"/>
  <c r="B9877" i="1"/>
  <c r="B9876" i="1"/>
  <c r="B9875" i="1"/>
  <c r="B9874" i="1"/>
  <c r="B9873" i="1"/>
  <c r="B9872" i="1"/>
  <c r="B9871" i="1"/>
  <c r="B9870" i="1"/>
  <c r="B9869" i="1"/>
  <c r="B9868" i="1"/>
  <c r="B9867" i="1"/>
  <c r="B9866" i="1"/>
  <c r="B9865" i="1"/>
  <c r="B9864" i="1"/>
  <c r="B9863" i="1"/>
  <c r="B9862" i="1"/>
  <c r="B9861" i="1"/>
  <c r="B9860" i="1"/>
  <c r="B9859" i="1"/>
  <c r="B9858" i="1"/>
  <c r="B9857" i="1"/>
  <c r="B9856" i="1"/>
  <c r="B9855" i="1"/>
  <c r="B9854" i="1"/>
  <c r="B9853" i="1"/>
  <c r="B9852" i="1"/>
  <c r="B9851" i="1"/>
  <c r="B9850" i="1"/>
  <c r="B9849" i="1"/>
  <c r="B9848" i="1"/>
  <c r="B9847" i="1"/>
  <c r="B9846" i="1"/>
  <c r="B9845" i="1"/>
  <c r="B9844" i="1"/>
  <c r="B9843" i="1"/>
  <c r="B9842" i="1"/>
  <c r="B9841" i="1"/>
  <c r="B9840" i="1"/>
  <c r="B9839" i="1"/>
  <c r="B9838" i="1"/>
  <c r="B9837" i="1"/>
  <c r="B9836" i="1"/>
  <c r="B9835" i="1"/>
  <c r="B9834" i="1"/>
  <c r="B9833" i="1"/>
  <c r="B9832" i="1"/>
  <c r="B9831" i="1"/>
  <c r="B9830" i="1"/>
  <c r="B9829" i="1"/>
  <c r="B9828" i="1"/>
  <c r="B9827" i="1"/>
  <c r="B9826" i="1"/>
  <c r="B9825" i="1"/>
  <c r="B9824" i="1"/>
  <c r="B9823" i="1"/>
  <c r="B9822" i="1"/>
  <c r="B9821" i="1"/>
  <c r="B9820" i="1"/>
  <c r="B9819" i="1"/>
  <c r="B9818" i="1"/>
  <c r="B9817" i="1"/>
  <c r="B9816" i="1"/>
  <c r="B9815" i="1"/>
  <c r="B9814" i="1"/>
  <c r="B9813" i="1"/>
  <c r="B9812" i="1"/>
  <c r="B9811" i="1"/>
  <c r="B9810" i="1"/>
  <c r="B9809" i="1"/>
  <c r="B9808" i="1"/>
  <c r="B9807" i="1"/>
  <c r="B9806" i="1"/>
  <c r="B9805" i="1"/>
  <c r="B9804" i="1"/>
  <c r="B9803" i="1"/>
  <c r="B9802" i="1"/>
  <c r="B9801" i="1"/>
  <c r="B9800" i="1"/>
  <c r="B9799" i="1"/>
  <c r="B9798" i="1"/>
  <c r="B9797" i="1"/>
  <c r="B9796" i="1"/>
  <c r="B9795" i="1"/>
  <c r="B9794" i="1"/>
  <c r="B9793" i="1"/>
  <c r="B9792" i="1"/>
  <c r="B9791" i="1"/>
  <c r="B9790" i="1"/>
  <c r="B9789" i="1"/>
  <c r="B9788" i="1"/>
  <c r="B9787" i="1"/>
  <c r="B9786" i="1"/>
  <c r="B9785" i="1"/>
  <c r="B9784" i="1"/>
  <c r="B9783" i="1"/>
  <c r="B9782" i="1"/>
  <c r="B9781" i="1"/>
  <c r="B9780" i="1"/>
  <c r="B9779" i="1"/>
  <c r="B9778" i="1"/>
  <c r="B9777" i="1"/>
  <c r="B9776" i="1"/>
  <c r="B9775" i="1"/>
  <c r="B9774" i="1"/>
  <c r="B9773" i="1"/>
  <c r="B9772" i="1"/>
  <c r="B9771" i="1"/>
  <c r="B9770" i="1"/>
  <c r="B9769" i="1"/>
  <c r="B9768" i="1"/>
  <c r="B9767" i="1"/>
  <c r="B9766" i="1"/>
  <c r="B9765" i="1"/>
  <c r="B9764" i="1"/>
  <c r="B9763" i="1"/>
  <c r="B9762" i="1"/>
  <c r="B9761" i="1"/>
  <c r="B9760" i="1"/>
  <c r="B9759" i="1"/>
  <c r="B9758" i="1"/>
  <c r="B9757" i="1"/>
  <c r="B9756" i="1"/>
  <c r="B9755" i="1"/>
  <c r="B9754" i="1"/>
  <c r="B9753" i="1"/>
  <c r="B9752" i="1"/>
  <c r="B9751" i="1"/>
  <c r="B9750" i="1"/>
  <c r="B9749" i="1"/>
  <c r="B9748" i="1"/>
  <c r="B9747" i="1"/>
  <c r="B9746" i="1"/>
  <c r="B9745" i="1"/>
  <c r="B9744" i="1"/>
  <c r="B9743" i="1"/>
  <c r="B9742" i="1"/>
  <c r="B9741" i="1"/>
  <c r="B9740" i="1"/>
  <c r="B9739" i="1"/>
  <c r="B9738" i="1"/>
  <c r="B9737" i="1"/>
  <c r="B9736" i="1"/>
  <c r="B9735" i="1"/>
  <c r="B9734" i="1"/>
  <c r="B9733" i="1"/>
  <c r="B9732" i="1"/>
  <c r="B9731" i="1"/>
  <c r="B9730" i="1"/>
  <c r="B9729" i="1"/>
  <c r="B9728" i="1"/>
  <c r="B9727" i="1"/>
  <c r="B9726" i="1"/>
  <c r="B9725" i="1"/>
  <c r="B9724" i="1"/>
  <c r="B9723" i="1"/>
  <c r="B9722" i="1"/>
  <c r="B9721" i="1"/>
  <c r="B9720" i="1"/>
  <c r="B9719" i="1"/>
  <c r="B9718" i="1"/>
  <c r="B9717" i="1"/>
  <c r="B9716" i="1"/>
  <c r="B9715" i="1"/>
  <c r="B9714" i="1"/>
  <c r="B9713" i="1"/>
  <c r="B9712" i="1"/>
  <c r="B9711" i="1"/>
  <c r="B9710" i="1"/>
  <c r="B9709" i="1"/>
  <c r="B9708" i="1"/>
  <c r="B9707" i="1"/>
  <c r="B9706" i="1"/>
  <c r="B9705" i="1"/>
  <c r="B9704" i="1"/>
  <c r="B9703" i="1"/>
  <c r="B9702" i="1"/>
  <c r="B9701" i="1"/>
  <c r="B9700" i="1"/>
  <c r="B9699" i="1"/>
  <c r="B9698" i="1"/>
  <c r="B9697" i="1"/>
  <c r="B9696" i="1"/>
  <c r="B9695" i="1"/>
  <c r="B9694" i="1"/>
  <c r="B9693" i="1"/>
  <c r="B9692" i="1"/>
  <c r="B9691" i="1"/>
  <c r="B9690" i="1"/>
  <c r="B9689" i="1"/>
  <c r="B9688" i="1"/>
  <c r="B9687" i="1"/>
  <c r="B9686" i="1"/>
  <c r="B9685" i="1"/>
  <c r="B9684" i="1"/>
  <c r="B9683" i="1"/>
  <c r="B9682" i="1"/>
  <c r="B9681" i="1"/>
  <c r="B9680" i="1"/>
  <c r="B9679" i="1"/>
  <c r="B9678" i="1"/>
  <c r="B9677" i="1"/>
  <c r="B9676" i="1"/>
  <c r="B9675" i="1"/>
  <c r="B9674" i="1"/>
  <c r="B9673" i="1"/>
  <c r="B9672" i="1"/>
  <c r="B9671" i="1"/>
  <c r="B9670" i="1"/>
  <c r="B9669" i="1"/>
  <c r="B9668" i="1"/>
  <c r="B9667" i="1"/>
  <c r="B9666" i="1"/>
  <c r="B9665" i="1"/>
  <c r="B9664" i="1"/>
  <c r="B9663" i="1"/>
  <c r="B9662" i="1"/>
  <c r="B9661" i="1"/>
  <c r="B9660" i="1"/>
  <c r="B9659" i="1"/>
  <c r="B9658" i="1"/>
  <c r="B9657" i="1"/>
  <c r="B9656" i="1"/>
  <c r="B9655" i="1"/>
  <c r="B9654" i="1"/>
  <c r="B9653" i="1"/>
  <c r="B9652" i="1"/>
  <c r="B9651" i="1"/>
  <c r="B9650" i="1"/>
  <c r="B9649" i="1"/>
  <c r="B9648" i="1"/>
  <c r="B9647" i="1"/>
  <c r="B9646" i="1"/>
  <c r="B9645" i="1"/>
  <c r="B9644" i="1"/>
  <c r="B9643" i="1"/>
  <c r="B9642" i="1"/>
  <c r="B9641" i="1"/>
  <c r="B9640" i="1"/>
  <c r="B9639" i="1"/>
  <c r="B9638" i="1"/>
  <c r="B9637" i="1"/>
  <c r="B9636" i="1"/>
  <c r="B9635" i="1"/>
  <c r="B9634" i="1"/>
  <c r="B9633" i="1"/>
  <c r="B9632" i="1"/>
  <c r="B9631" i="1"/>
  <c r="B9630" i="1"/>
  <c r="B9629" i="1"/>
  <c r="B9628" i="1"/>
  <c r="B9627" i="1"/>
  <c r="B9626" i="1"/>
  <c r="B9625" i="1"/>
  <c r="B9624" i="1"/>
  <c r="B9623" i="1"/>
  <c r="B9622" i="1"/>
  <c r="B9621" i="1"/>
  <c r="B9620" i="1"/>
  <c r="B9619" i="1"/>
  <c r="B9618" i="1"/>
  <c r="B9617" i="1"/>
  <c r="B9616" i="1"/>
  <c r="B9615" i="1"/>
  <c r="B9614" i="1"/>
  <c r="B9613" i="1"/>
  <c r="B9612" i="1"/>
  <c r="B9611" i="1"/>
  <c r="B9610" i="1"/>
  <c r="B9609" i="1"/>
  <c r="B9608" i="1"/>
  <c r="B9607" i="1"/>
  <c r="B9606" i="1"/>
  <c r="B9605" i="1"/>
  <c r="B9604" i="1"/>
  <c r="B9603" i="1"/>
  <c r="B9602" i="1"/>
  <c r="B9601" i="1"/>
  <c r="B9600" i="1"/>
  <c r="B9599" i="1"/>
  <c r="B9598" i="1"/>
  <c r="B9597" i="1"/>
  <c r="B9596" i="1"/>
  <c r="B9595" i="1"/>
  <c r="B9594" i="1"/>
  <c r="B9593" i="1"/>
  <c r="B9592" i="1"/>
  <c r="B9591" i="1"/>
  <c r="B9590" i="1"/>
  <c r="B9589" i="1"/>
  <c r="B9588" i="1"/>
  <c r="B9587" i="1"/>
  <c r="B9586" i="1"/>
  <c r="B9585" i="1"/>
  <c r="B9584" i="1"/>
  <c r="B9583" i="1"/>
  <c r="B9582" i="1"/>
  <c r="B9581" i="1"/>
  <c r="B9580" i="1"/>
  <c r="B9579" i="1"/>
  <c r="B9578" i="1"/>
  <c r="B9577" i="1"/>
  <c r="B9576" i="1"/>
  <c r="B9575" i="1"/>
  <c r="B9574" i="1"/>
  <c r="B9573" i="1"/>
  <c r="B9572" i="1"/>
  <c r="B9571" i="1"/>
  <c r="B9570" i="1"/>
  <c r="B9569" i="1"/>
  <c r="B9568" i="1"/>
  <c r="B9567" i="1"/>
  <c r="B9566" i="1"/>
  <c r="B9565" i="1"/>
  <c r="B9564" i="1"/>
  <c r="B9563" i="1"/>
  <c r="B9562" i="1"/>
  <c r="B9561" i="1"/>
  <c r="B9560" i="1"/>
  <c r="B9559" i="1"/>
  <c r="B9558" i="1"/>
  <c r="B9557" i="1"/>
  <c r="B9556" i="1"/>
  <c r="B9555" i="1"/>
  <c r="B9554" i="1"/>
  <c r="B9553" i="1"/>
  <c r="B9552" i="1"/>
  <c r="B9551" i="1"/>
  <c r="B9550" i="1"/>
  <c r="B9549" i="1"/>
  <c r="B9548" i="1"/>
  <c r="B9547" i="1"/>
  <c r="B9546" i="1"/>
  <c r="B9545" i="1"/>
  <c r="B9544" i="1"/>
  <c r="B9543" i="1"/>
  <c r="B9542" i="1"/>
  <c r="B9541" i="1"/>
  <c r="B9540" i="1"/>
  <c r="B9539" i="1"/>
  <c r="B9538" i="1"/>
  <c r="B9537" i="1"/>
  <c r="B9536" i="1"/>
  <c r="B9535" i="1"/>
  <c r="B9534" i="1"/>
  <c r="B9533" i="1"/>
  <c r="B9532" i="1"/>
  <c r="B9531" i="1"/>
  <c r="B9530" i="1"/>
  <c r="B9529" i="1"/>
  <c r="B9528" i="1"/>
  <c r="B9527" i="1"/>
  <c r="B9526" i="1"/>
  <c r="B9525" i="1"/>
  <c r="B9524" i="1"/>
  <c r="B9523" i="1"/>
  <c r="B9522" i="1"/>
  <c r="B9521" i="1"/>
  <c r="B9520" i="1"/>
  <c r="B9519" i="1"/>
  <c r="B9518" i="1"/>
  <c r="B9517" i="1"/>
  <c r="B9516" i="1"/>
  <c r="B9515" i="1"/>
  <c r="B9514" i="1"/>
  <c r="B9513" i="1"/>
  <c r="B9512" i="1"/>
  <c r="B9511" i="1"/>
  <c r="B9510" i="1"/>
  <c r="B9509" i="1"/>
  <c r="B9508" i="1"/>
  <c r="B9507" i="1"/>
  <c r="B9506" i="1"/>
  <c r="B9505" i="1"/>
  <c r="B9504" i="1"/>
  <c r="B9503" i="1"/>
  <c r="B9502" i="1"/>
  <c r="B9501" i="1"/>
  <c r="B9500" i="1"/>
  <c r="B9499" i="1"/>
  <c r="B9498" i="1"/>
  <c r="B9497" i="1"/>
  <c r="B9496" i="1"/>
  <c r="B9495" i="1"/>
  <c r="B9494" i="1"/>
  <c r="B9493" i="1"/>
  <c r="B9492" i="1"/>
  <c r="B9491" i="1"/>
  <c r="B9490" i="1"/>
  <c r="B9489" i="1"/>
  <c r="B9488" i="1"/>
  <c r="B9487" i="1"/>
  <c r="B9486" i="1"/>
  <c r="B9485" i="1"/>
  <c r="B9484" i="1"/>
  <c r="B9483" i="1"/>
  <c r="B9482" i="1"/>
  <c r="B9481" i="1"/>
  <c r="B9480" i="1"/>
  <c r="B9479" i="1"/>
  <c r="B9478" i="1"/>
  <c r="B9477" i="1"/>
  <c r="B9476" i="1"/>
  <c r="B9475" i="1"/>
  <c r="B9474" i="1"/>
  <c r="B9473" i="1"/>
  <c r="B9472" i="1"/>
  <c r="B9471" i="1"/>
  <c r="B9470" i="1"/>
  <c r="B9469" i="1"/>
  <c r="B9468" i="1"/>
  <c r="B9467" i="1"/>
  <c r="B9466" i="1"/>
  <c r="B9465" i="1"/>
  <c r="B9464" i="1"/>
  <c r="B9463" i="1"/>
  <c r="B9462" i="1"/>
  <c r="B9461" i="1"/>
  <c r="B9460" i="1"/>
  <c r="B9459" i="1"/>
  <c r="B9458" i="1"/>
  <c r="B9457" i="1"/>
  <c r="B9456" i="1"/>
  <c r="B9455" i="1"/>
  <c r="B9454" i="1"/>
  <c r="B9453" i="1"/>
  <c r="B9452" i="1"/>
  <c r="B9451" i="1"/>
  <c r="B9450" i="1"/>
  <c r="B9449" i="1"/>
  <c r="B9448" i="1"/>
  <c r="B9447" i="1"/>
  <c r="B9446" i="1"/>
  <c r="B9445" i="1"/>
  <c r="B9444" i="1"/>
  <c r="B9443" i="1"/>
  <c r="B9442" i="1"/>
  <c r="B9441" i="1"/>
  <c r="B9440" i="1"/>
  <c r="B9439" i="1"/>
  <c r="B9438" i="1"/>
  <c r="B9437" i="1"/>
  <c r="B9436" i="1"/>
  <c r="B9435" i="1"/>
  <c r="B9434" i="1"/>
  <c r="B9433" i="1"/>
  <c r="B9432" i="1"/>
  <c r="B9431" i="1"/>
  <c r="B9430" i="1"/>
  <c r="B9429" i="1"/>
  <c r="B9428" i="1"/>
  <c r="B9427" i="1"/>
  <c r="B9426" i="1"/>
  <c r="B9425" i="1"/>
  <c r="B9424" i="1"/>
  <c r="B9423" i="1"/>
  <c r="B9422" i="1"/>
  <c r="B9421" i="1"/>
  <c r="B9420" i="1"/>
  <c r="B9419" i="1"/>
  <c r="B9418" i="1"/>
  <c r="B9417" i="1"/>
  <c r="B9416" i="1"/>
  <c r="B9415" i="1"/>
  <c r="B9414" i="1"/>
  <c r="B9413" i="1"/>
  <c r="B9412" i="1"/>
  <c r="B9411" i="1"/>
  <c r="B9410" i="1"/>
  <c r="B9409" i="1"/>
  <c r="B9408" i="1"/>
  <c r="B9407" i="1"/>
  <c r="B9406" i="1"/>
  <c r="B9405" i="1"/>
  <c r="B9404" i="1"/>
  <c r="B9403" i="1"/>
  <c r="B9402" i="1"/>
  <c r="B9401" i="1"/>
  <c r="B9400" i="1"/>
  <c r="B9399" i="1"/>
  <c r="B9398" i="1"/>
  <c r="B9397" i="1"/>
  <c r="B9396" i="1"/>
  <c r="B9395" i="1"/>
  <c r="B9394" i="1"/>
  <c r="B9393" i="1"/>
  <c r="B9392" i="1"/>
  <c r="B9391" i="1"/>
  <c r="B9390" i="1"/>
  <c r="B9389" i="1"/>
  <c r="B9388" i="1"/>
  <c r="B9387" i="1"/>
  <c r="B9386" i="1"/>
  <c r="B9385" i="1"/>
  <c r="B9384" i="1"/>
  <c r="B9383" i="1"/>
  <c r="B9382" i="1"/>
  <c r="B9381" i="1"/>
  <c r="B9380" i="1"/>
  <c r="B9379" i="1"/>
  <c r="B9378" i="1"/>
  <c r="B9377" i="1"/>
  <c r="B9376" i="1"/>
  <c r="B9375" i="1"/>
  <c r="B9374" i="1"/>
  <c r="B9373" i="1"/>
  <c r="B9372" i="1"/>
  <c r="B9371" i="1"/>
  <c r="B9370" i="1"/>
  <c r="B9369" i="1"/>
  <c r="B9368" i="1"/>
  <c r="B9367" i="1"/>
  <c r="B9366" i="1"/>
  <c r="B9365" i="1"/>
  <c r="B9364" i="1"/>
  <c r="B9363" i="1"/>
  <c r="B9362" i="1"/>
  <c r="B9361" i="1"/>
  <c r="B9360" i="1"/>
  <c r="B9359" i="1"/>
  <c r="B9358" i="1"/>
  <c r="B9357" i="1"/>
  <c r="B9356" i="1"/>
  <c r="B9355" i="1"/>
  <c r="B9354" i="1"/>
  <c r="B9353" i="1"/>
  <c r="B9352" i="1"/>
  <c r="B9351" i="1"/>
  <c r="B9350" i="1"/>
  <c r="B9349" i="1"/>
  <c r="B9348" i="1"/>
  <c r="B9347" i="1"/>
  <c r="B9346" i="1"/>
  <c r="B9345" i="1"/>
  <c r="B9344" i="1"/>
  <c r="B9343" i="1"/>
  <c r="B9342" i="1"/>
  <c r="B9341" i="1"/>
  <c r="B9340" i="1"/>
  <c r="B9339" i="1"/>
  <c r="B9338" i="1"/>
  <c r="B9337" i="1"/>
  <c r="B9336" i="1"/>
  <c r="B9335" i="1"/>
  <c r="B9334" i="1"/>
  <c r="B9333" i="1"/>
  <c r="B9332" i="1"/>
  <c r="B9331" i="1"/>
  <c r="B9330" i="1"/>
  <c r="B9329" i="1"/>
  <c r="B9328" i="1"/>
  <c r="B9327" i="1"/>
  <c r="B9326" i="1"/>
  <c r="B9325" i="1"/>
  <c r="B9324" i="1"/>
  <c r="B9323" i="1"/>
  <c r="B9322" i="1"/>
  <c r="B9321" i="1"/>
  <c r="B9320" i="1"/>
  <c r="B9319" i="1"/>
  <c r="B9318" i="1"/>
  <c r="B9317" i="1"/>
  <c r="B9316" i="1"/>
  <c r="B9315" i="1"/>
  <c r="B9314" i="1"/>
  <c r="B9313" i="1"/>
  <c r="B9312" i="1"/>
  <c r="B9311" i="1"/>
  <c r="B9310" i="1"/>
  <c r="B9309" i="1"/>
  <c r="B9308" i="1"/>
  <c r="B9307" i="1"/>
  <c r="B9306" i="1"/>
  <c r="B9305" i="1"/>
  <c r="B9304" i="1"/>
  <c r="B9303" i="1"/>
  <c r="B9302" i="1"/>
  <c r="B9301" i="1"/>
  <c r="B9300" i="1"/>
  <c r="B9299" i="1"/>
  <c r="B9298" i="1"/>
  <c r="B9297" i="1"/>
  <c r="B9296" i="1"/>
  <c r="B9295" i="1"/>
  <c r="B9294" i="1"/>
  <c r="B9293" i="1"/>
  <c r="B9292" i="1"/>
  <c r="B9291" i="1"/>
  <c r="B9290" i="1"/>
  <c r="B9289" i="1"/>
  <c r="B9288" i="1"/>
  <c r="B9287" i="1"/>
  <c r="B9286" i="1"/>
  <c r="B9285" i="1"/>
  <c r="B9284" i="1"/>
  <c r="B9283" i="1"/>
  <c r="B9282" i="1"/>
  <c r="B9281" i="1"/>
  <c r="B9280" i="1"/>
  <c r="B9279" i="1"/>
  <c r="B9278" i="1"/>
  <c r="B9277" i="1"/>
  <c r="B9276" i="1"/>
  <c r="B9275" i="1"/>
  <c r="B9274" i="1"/>
  <c r="B9273" i="1"/>
  <c r="B9272" i="1"/>
  <c r="B9271" i="1"/>
  <c r="B9270" i="1"/>
  <c r="B9269" i="1"/>
  <c r="B9268" i="1"/>
  <c r="B9267" i="1"/>
  <c r="B9266" i="1"/>
  <c r="B9265" i="1"/>
  <c r="B9264" i="1"/>
  <c r="B9263" i="1"/>
  <c r="B9262" i="1"/>
  <c r="B9261" i="1"/>
  <c r="B9260" i="1"/>
  <c r="B9259" i="1"/>
  <c r="B9258" i="1"/>
  <c r="B9257" i="1"/>
  <c r="B9256" i="1"/>
  <c r="B9255" i="1"/>
  <c r="B9254" i="1"/>
  <c r="B9253" i="1"/>
  <c r="B9252" i="1"/>
  <c r="B9251" i="1"/>
  <c r="B9250" i="1"/>
  <c r="B9249" i="1"/>
  <c r="B9248" i="1"/>
  <c r="B9247" i="1"/>
  <c r="B9246" i="1"/>
  <c r="B9245" i="1"/>
  <c r="B9244" i="1"/>
  <c r="B9243" i="1"/>
  <c r="B9242" i="1"/>
  <c r="B9241" i="1"/>
  <c r="B9240" i="1"/>
  <c r="B9239" i="1"/>
  <c r="B9238" i="1"/>
  <c r="B9237" i="1"/>
  <c r="B9236" i="1"/>
  <c r="B9235" i="1"/>
  <c r="B9234" i="1"/>
  <c r="B9233" i="1"/>
  <c r="B9232" i="1"/>
  <c r="B9231" i="1"/>
  <c r="B9230" i="1"/>
  <c r="B9229" i="1"/>
  <c r="B9228" i="1"/>
  <c r="B9227" i="1"/>
  <c r="B9226" i="1"/>
  <c r="B9225" i="1"/>
  <c r="B9224" i="1"/>
  <c r="B9223" i="1"/>
  <c r="B9222" i="1"/>
  <c r="B9221" i="1"/>
  <c r="B9220" i="1"/>
  <c r="B9219" i="1"/>
  <c r="B9218" i="1"/>
  <c r="B9217" i="1"/>
  <c r="B9216" i="1"/>
  <c r="B9215" i="1"/>
  <c r="B9214" i="1"/>
  <c r="B9213" i="1"/>
  <c r="B9212" i="1"/>
  <c r="B9211" i="1"/>
  <c r="B9210" i="1"/>
  <c r="B9209" i="1"/>
  <c r="B9208" i="1"/>
  <c r="B9207" i="1"/>
  <c r="B9206" i="1"/>
  <c r="B9205" i="1"/>
  <c r="B9204" i="1"/>
  <c r="B9203" i="1"/>
  <c r="B9202" i="1"/>
  <c r="B9201" i="1"/>
  <c r="B9200" i="1"/>
  <c r="B9199" i="1"/>
  <c r="B9198" i="1"/>
  <c r="B9197" i="1"/>
  <c r="B9196" i="1"/>
  <c r="B9195" i="1"/>
  <c r="B9194" i="1"/>
  <c r="B9193" i="1"/>
  <c r="B9192" i="1"/>
  <c r="B9191" i="1"/>
  <c r="B9190" i="1"/>
  <c r="B9189" i="1"/>
  <c r="B9188" i="1"/>
  <c r="B9187" i="1"/>
  <c r="B9186" i="1"/>
  <c r="B9185" i="1"/>
  <c r="B9184" i="1"/>
  <c r="B9183" i="1"/>
  <c r="B9182" i="1"/>
  <c r="B9181" i="1"/>
  <c r="B9180" i="1"/>
  <c r="B9179" i="1"/>
  <c r="B9178" i="1"/>
  <c r="B9177" i="1"/>
  <c r="B9176" i="1"/>
  <c r="B9175" i="1"/>
  <c r="B9174" i="1"/>
  <c r="B9173" i="1"/>
  <c r="B9172" i="1"/>
  <c r="B9171" i="1"/>
  <c r="B9170" i="1"/>
  <c r="B9169" i="1"/>
  <c r="B9168" i="1"/>
  <c r="B9167" i="1"/>
  <c r="B9166" i="1"/>
  <c r="B9165" i="1"/>
  <c r="B9164" i="1"/>
  <c r="B9163" i="1"/>
  <c r="B9162" i="1"/>
  <c r="B9161" i="1"/>
  <c r="B9160" i="1"/>
  <c r="B9159" i="1"/>
  <c r="B9158" i="1"/>
  <c r="B9157" i="1"/>
  <c r="B9156" i="1"/>
  <c r="B9155" i="1"/>
  <c r="B9154" i="1"/>
  <c r="B9153" i="1"/>
  <c r="B9152" i="1"/>
  <c r="B9151" i="1"/>
  <c r="B9150" i="1"/>
  <c r="B9149" i="1"/>
  <c r="B9148" i="1"/>
  <c r="B9147" i="1"/>
  <c r="B9146" i="1"/>
  <c r="B9145" i="1"/>
  <c r="B9144" i="1"/>
  <c r="B9143" i="1"/>
  <c r="B9142" i="1"/>
  <c r="B9141" i="1"/>
  <c r="B9140" i="1"/>
  <c r="B9139" i="1"/>
  <c r="B9138" i="1"/>
  <c r="B9137" i="1"/>
  <c r="B9136" i="1"/>
  <c r="B9135" i="1"/>
  <c r="B9134" i="1"/>
  <c r="B9133" i="1"/>
  <c r="B9132" i="1"/>
  <c r="B9131" i="1"/>
  <c r="B9130" i="1"/>
  <c r="B9129" i="1"/>
  <c r="B9128" i="1"/>
  <c r="B9127" i="1"/>
  <c r="B9126" i="1"/>
  <c r="B9125" i="1"/>
  <c r="B9124" i="1"/>
  <c r="B9123" i="1"/>
  <c r="B9122" i="1"/>
  <c r="B9121" i="1"/>
  <c r="B9120" i="1"/>
  <c r="B9119" i="1"/>
  <c r="B9118" i="1"/>
  <c r="B9117" i="1"/>
  <c r="B9116" i="1"/>
  <c r="B9115" i="1"/>
  <c r="B9114" i="1"/>
  <c r="B9113" i="1"/>
  <c r="B9112" i="1"/>
  <c r="B9111" i="1"/>
  <c r="B9110" i="1"/>
  <c r="B9109" i="1"/>
  <c r="B9108" i="1"/>
  <c r="B9107" i="1"/>
  <c r="B9106" i="1"/>
  <c r="B9105" i="1"/>
  <c r="B9104" i="1"/>
  <c r="B9103" i="1"/>
  <c r="B9102" i="1"/>
  <c r="B9101" i="1"/>
  <c r="B9100" i="1"/>
  <c r="B9099" i="1"/>
  <c r="B9098" i="1"/>
  <c r="B9097" i="1"/>
  <c r="B9096" i="1"/>
  <c r="B9095" i="1"/>
  <c r="B9094" i="1"/>
  <c r="B9093" i="1"/>
  <c r="B9092" i="1"/>
  <c r="B9091" i="1"/>
  <c r="B9090" i="1"/>
  <c r="B9089" i="1"/>
  <c r="B9088" i="1"/>
  <c r="B9087" i="1"/>
  <c r="B9086" i="1"/>
  <c r="B9085" i="1"/>
  <c r="B9084" i="1"/>
  <c r="B9083" i="1"/>
  <c r="B9082" i="1"/>
  <c r="B9081" i="1"/>
  <c r="B9080" i="1"/>
  <c r="B9079" i="1"/>
  <c r="B9078" i="1"/>
  <c r="B9077" i="1"/>
  <c r="B9076" i="1"/>
  <c r="B9075" i="1"/>
  <c r="B9074" i="1"/>
  <c r="B9073" i="1"/>
  <c r="B9072" i="1"/>
  <c r="B9071" i="1"/>
  <c r="B9070" i="1"/>
  <c r="B9069" i="1"/>
  <c r="B9068" i="1"/>
  <c r="B9067" i="1"/>
  <c r="B9066" i="1"/>
  <c r="B9065" i="1"/>
  <c r="B9064" i="1"/>
  <c r="B9063" i="1"/>
  <c r="B9062" i="1"/>
  <c r="B9061" i="1"/>
  <c r="B9060" i="1"/>
  <c r="B9059" i="1"/>
  <c r="B9058" i="1"/>
  <c r="B9057" i="1"/>
  <c r="B9056" i="1"/>
  <c r="B9055" i="1"/>
  <c r="B9054" i="1"/>
  <c r="B9053" i="1"/>
  <c r="B9052" i="1"/>
  <c r="B9051" i="1"/>
  <c r="B9050" i="1"/>
  <c r="B9049" i="1"/>
  <c r="B9048" i="1"/>
  <c r="B9047" i="1"/>
  <c r="B9046" i="1"/>
  <c r="B9045" i="1"/>
  <c r="B9044" i="1"/>
  <c r="B9043" i="1"/>
  <c r="B9042" i="1"/>
  <c r="B9041" i="1"/>
  <c r="B9040" i="1"/>
  <c r="B9039" i="1"/>
  <c r="B9038" i="1"/>
  <c r="B9037" i="1"/>
  <c r="B9036" i="1"/>
  <c r="B9035" i="1"/>
  <c r="B9034" i="1"/>
  <c r="B9033" i="1"/>
  <c r="B9032" i="1"/>
  <c r="B9031" i="1"/>
  <c r="B9030" i="1"/>
  <c r="B9029" i="1"/>
  <c r="B9028" i="1"/>
  <c r="B9027" i="1"/>
  <c r="B9026" i="1"/>
  <c r="B9025" i="1"/>
  <c r="B9024" i="1"/>
  <c r="B9023" i="1"/>
  <c r="B9022" i="1"/>
  <c r="B9021" i="1"/>
  <c r="B9020" i="1"/>
  <c r="B9019" i="1"/>
  <c r="B9018" i="1"/>
  <c r="B9017" i="1"/>
  <c r="B9016" i="1"/>
  <c r="B9015" i="1"/>
  <c r="B9014" i="1"/>
  <c r="B9013" i="1"/>
  <c r="B9012" i="1"/>
  <c r="B9011" i="1"/>
  <c r="B9010" i="1"/>
  <c r="B9009" i="1"/>
  <c r="B9008" i="1"/>
  <c r="B9007" i="1"/>
  <c r="B9006" i="1"/>
  <c r="B9005" i="1"/>
  <c r="B9004" i="1"/>
  <c r="B9003" i="1"/>
  <c r="B9002" i="1"/>
  <c r="B9001" i="1"/>
  <c r="B9000" i="1"/>
  <c r="B8999" i="1"/>
  <c r="B8998" i="1"/>
  <c r="B8997" i="1"/>
  <c r="B8996" i="1"/>
  <c r="B8995" i="1"/>
  <c r="B8994" i="1"/>
  <c r="B8993" i="1"/>
  <c r="B8992" i="1"/>
  <c r="B8991" i="1"/>
  <c r="B8990" i="1"/>
  <c r="B8989" i="1"/>
  <c r="B8988" i="1"/>
  <c r="B8987" i="1"/>
  <c r="B8986" i="1"/>
  <c r="B8985" i="1"/>
  <c r="B8984" i="1"/>
  <c r="B8983" i="1"/>
  <c r="B8982" i="1"/>
  <c r="B8981" i="1"/>
  <c r="B8980" i="1"/>
  <c r="B8979" i="1"/>
  <c r="B8978" i="1"/>
  <c r="B8977" i="1"/>
  <c r="B8976" i="1"/>
  <c r="B8975" i="1"/>
  <c r="B8974" i="1"/>
  <c r="B8973" i="1"/>
  <c r="B8972" i="1"/>
  <c r="B8971" i="1"/>
  <c r="B8970" i="1"/>
  <c r="B8969" i="1"/>
  <c r="B8968" i="1"/>
  <c r="B8967" i="1"/>
  <c r="B8966" i="1"/>
  <c r="B8965" i="1"/>
  <c r="B8964" i="1"/>
  <c r="B8963" i="1"/>
  <c r="B8962" i="1"/>
  <c r="B8961" i="1"/>
  <c r="B8960" i="1"/>
  <c r="B8959" i="1"/>
  <c r="B8958" i="1"/>
  <c r="B8957" i="1"/>
  <c r="B8956" i="1"/>
  <c r="B8955" i="1"/>
  <c r="B8954" i="1"/>
  <c r="B8953" i="1"/>
  <c r="B8952" i="1"/>
  <c r="B8951" i="1"/>
  <c r="B8950" i="1"/>
  <c r="B8949" i="1"/>
  <c r="B8948" i="1"/>
  <c r="B8947" i="1"/>
  <c r="B8946" i="1"/>
  <c r="B8945" i="1"/>
  <c r="B8944" i="1"/>
  <c r="B8943" i="1"/>
  <c r="B8942" i="1"/>
  <c r="B8941" i="1"/>
  <c r="B8940" i="1"/>
  <c r="B8939" i="1"/>
  <c r="B8938" i="1"/>
  <c r="B8937" i="1"/>
  <c r="B8936" i="1"/>
  <c r="B8935" i="1"/>
  <c r="B8934" i="1"/>
  <c r="B8933" i="1"/>
  <c r="B8932" i="1"/>
  <c r="B8931" i="1"/>
  <c r="B8930" i="1"/>
  <c r="B8929" i="1"/>
  <c r="B8928" i="1"/>
  <c r="B8927" i="1"/>
  <c r="B8926" i="1"/>
  <c r="B8925" i="1"/>
  <c r="B8924" i="1"/>
  <c r="B8923" i="1"/>
  <c r="B8922" i="1"/>
  <c r="B8921" i="1"/>
  <c r="B8920" i="1"/>
  <c r="B8919" i="1"/>
  <c r="B8918" i="1"/>
  <c r="B8917" i="1"/>
  <c r="B8916" i="1"/>
  <c r="B8915" i="1"/>
  <c r="B8914" i="1"/>
  <c r="B8913" i="1"/>
  <c r="B8912" i="1"/>
  <c r="B8911" i="1"/>
  <c r="B8910" i="1"/>
  <c r="B8909" i="1"/>
  <c r="B8908" i="1"/>
  <c r="B8907" i="1"/>
  <c r="B8906" i="1"/>
  <c r="B8905" i="1"/>
  <c r="B8904" i="1"/>
  <c r="B8903" i="1"/>
  <c r="B8902" i="1"/>
  <c r="B8901" i="1"/>
  <c r="B8900" i="1"/>
  <c r="B8899" i="1"/>
  <c r="B8898" i="1"/>
  <c r="B8897" i="1"/>
  <c r="B8896" i="1"/>
  <c r="B8895" i="1"/>
  <c r="B8894" i="1"/>
  <c r="B8893" i="1"/>
  <c r="B8892" i="1"/>
  <c r="B8891" i="1"/>
  <c r="B8890" i="1"/>
  <c r="B8889" i="1"/>
  <c r="B8888" i="1"/>
  <c r="B8887" i="1"/>
  <c r="B8886" i="1"/>
  <c r="B8885" i="1"/>
  <c r="B8884" i="1"/>
  <c r="B8883" i="1"/>
  <c r="B8882" i="1"/>
  <c r="B8881" i="1"/>
  <c r="B8880" i="1"/>
  <c r="B8879" i="1"/>
  <c r="B8878" i="1"/>
  <c r="B8877" i="1"/>
  <c r="B8876" i="1"/>
  <c r="B8875" i="1"/>
  <c r="B8874" i="1"/>
  <c r="B8873" i="1"/>
  <c r="B8872" i="1"/>
  <c r="B8871" i="1"/>
  <c r="B8870" i="1"/>
  <c r="B8869" i="1"/>
  <c r="B8868" i="1"/>
  <c r="B8867" i="1"/>
  <c r="B8866" i="1"/>
  <c r="B8865" i="1"/>
  <c r="B8864" i="1"/>
  <c r="B8863" i="1"/>
  <c r="B8862" i="1"/>
  <c r="B8861" i="1"/>
  <c r="B8860" i="1"/>
  <c r="B8859" i="1"/>
  <c r="B8858" i="1"/>
  <c r="B8857" i="1"/>
  <c r="B8856" i="1"/>
  <c r="B8855" i="1"/>
  <c r="B8854" i="1"/>
  <c r="B8853" i="1"/>
  <c r="B8852" i="1"/>
  <c r="B8851" i="1"/>
  <c r="B8850" i="1"/>
  <c r="B8849" i="1"/>
  <c r="B8848" i="1"/>
  <c r="B8847" i="1"/>
  <c r="B8846" i="1"/>
  <c r="B8845" i="1"/>
  <c r="B8844" i="1"/>
  <c r="B8843" i="1"/>
  <c r="B8842" i="1"/>
  <c r="B8841" i="1"/>
  <c r="B8840" i="1"/>
  <c r="B8839" i="1"/>
  <c r="B8838" i="1"/>
  <c r="B8837" i="1"/>
  <c r="B8836" i="1"/>
  <c r="B8835" i="1"/>
  <c r="B8834" i="1"/>
  <c r="B8833" i="1"/>
  <c r="B8832" i="1"/>
  <c r="B8831" i="1"/>
  <c r="B8830" i="1"/>
  <c r="B8829" i="1"/>
  <c r="B8828" i="1"/>
  <c r="B8827" i="1"/>
  <c r="B8826" i="1"/>
  <c r="B8825" i="1"/>
  <c r="B8824" i="1"/>
  <c r="B8823" i="1"/>
  <c r="B8822" i="1"/>
  <c r="B8821" i="1"/>
  <c r="B8820" i="1"/>
  <c r="B8819" i="1"/>
  <c r="B8818" i="1"/>
  <c r="B8817" i="1"/>
  <c r="B8816" i="1"/>
  <c r="B8815" i="1"/>
  <c r="B8814" i="1"/>
  <c r="B8813" i="1"/>
  <c r="B8812" i="1"/>
  <c r="B8811" i="1"/>
  <c r="B8810" i="1"/>
  <c r="B8809" i="1"/>
  <c r="B8808" i="1"/>
  <c r="B8807" i="1"/>
  <c r="B8806" i="1"/>
  <c r="B8805" i="1"/>
  <c r="B8804" i="1"/>
  <c r="B8803" i="1"/>
  <c r="B8802" i="1"/>
  <c r="B8801" i="1"/>
  <c r="B8800" i="1"/>
  <c r="B8799" i="1"/>
  <c r="B8798" i="1"/>
  <c r="B8797" i="1"/>
  <c r="B8796" i="1"/>
  <c r="B8795" i="1"/>
  <c r="B8794" i="1"/>
  <c r="B8793" i="1"/>
  <c r="B8792" i="1"/>
  <c r="B8791" i="1"/>
  <c r="B8790" i="1"/>
  <c r="B8789" i="1"/>
  <c r="B8788" i="1"/>
  <c r="B8787" i="1"/>
  <c r="B8786" i="1"/>
  <c r="B8785" i="1"/>
  <c r="B8784" i="1"/>
  <c r="B8783" i="1"/>
  <c r="B8782" i="1"/>
  <c r="B8781" i="1"/>
  <c r="B8780" i="1"/>
  <c r="B8779" i="1"/>
  <c r="B8778" i="1"/>
  <c r="B8777" i="1"/>
  <c r="B8776" i="1"/>
  <c r="B8775" i="1"/>
  <c r="B8774" i="1"/>
  <c r="B8773" i="1"/>
  <c r="B8772" i="1"/>
  <c r="B8771" i="1"/>
  <c r="B8770" i="1"/>
  <c r="B8769" i="1"/>
  <c r="B8768" i="1"/>
  <c r="B8767" i="1"/>
  <c r="B8766" i="1"/>
  <c r="B8765" i="1"/>
  <c r="B8764" i="1"/>
  <c r="B8763" i="1"/>
  <c r="B8762" i="1"/>
  <c r="B8761" i="1"/>
  <c r="B8760" i="1"/>
  <c r="B8759" i="1"/>
  <c r="B8758" i="1"/>
  <c r="B8757" i="1"/>
  <c r="B8756" i="1"/>
  <c r="B8755" i="1"/>
  <c r="B8754" i="1"/>
  <c r="B8753" i="1"/>
  <c r="B8752" i="1"/>
  <c r="B8751" i="1"/>
  <c r="B8750" i="1"/>
  <c r="B8749" i="1"/>
  <c r="B8748" i="1"/>
  <c r="B8747" i="1"/>
  <c r="B8746" i="1"/>
  <c r="B8745" i="1"/>
  <c r="B8744" i="1"/>
  <c r="B8743" i="1"/>
  <c r="B8742" i="1"/>
  <c r="B8741" i="1"/>
  <c r="B8740" i="1"/>
  <c r="B8739" i="1"/>
  <c r="B8738" i="1"/>
  <c r="B8737" i="1"/>
  <c r="B8736" i="1"/>
  <c r="B8735" i="1"/>
  <c r="B8734" i="1"/>
  <c r="B8733" i="1"/>
  <c r="B8732" i="1"/>
  <c r="B8731" i="1"/>
  <c r="B8730" i="1"/>
  <c r="B8729" i="1"/>
  <c r="B8728" i="1"/>
  <c r="B8727" i="1"/>
  <c r="B8726" i="1"/>
  <c r="B8725" i="1"/>
  <c r="B8724" i="1"/>
  <c r="B8723" i="1"/>
  <c r="B8722" i="1"/>
  <c r="B8721" i="1"/>
  <c r="B8720" i="1"/>
  <c r="B8719" i="1"/>
  <c r="B8718" i="1"/>
  <c r="B8717" i="1"/>
  <c r="B8716" i="1"/>
  <c r="B8715" i="1"/>
  <c r="B8714" i="1"/>
  <c r="B8713" i="1"/>
  <c r="B8712" i="1"/>
  <c r="B8711" i="1"/>
  <c r="B8710" i="1"/>
  <c r="B8709" i="1"/>
  <c r="B8708" i="1"/>
  <c r="B8707" i="1"/>
  <c r="B8706" i="1"/>
  <c r="B8705" i="1"/>
  <c r="B8704" i="1"/>
  <c r="B8703" i="1"/>
  <c r="B8702" i="1"/>
  <c r="B8701" i="1"/>
  <c r="B8700" i="1"/>
  <c r="B8699" i="1"/>
  <c r="B8698" i="1"/>
  <c r="B8697" i="1"/>
  <c r="B8696" i="1"/>
  <c r="B8695" i="1"/>
  <c r="B8694" i="1"/>
  <c r="B8693" i="1"/>
  <c r="B8692" i="1"/>
  <c r="B8691" i="1"/>
  <c r="B8690" i="1"/>
  <c r="B8689" i="1"/>
  <c r="B8688" i="1"/>
  <c r="B8687" i="1"/>
  <c r="B8686" i="1"/>
  <c r="B8685" i="1"/>
  <c r="B8684" i="1"/>
  <c r="B8683" i="1"/>
  <c r="B8682" i="1"/>
  <c r="B8681" i="1"/>
  <c r="B8680" i="1"/>
  <c r="B8679" i="1"/>
  <c r="B8678" i="1"/>
  <c r="B8677" i="1"/>
  <c r="B8676" i="1"/>
  <c r="B8675" i="1"/>
  <c r="B8674" i="1"/>
  <c r="B8673" i="1"/>
  <c r="B8672" i="1"/>
  <c r="B8671" i="1"/>
  <c r="B8670" i="1"/>
  <c r="B8669" i="1"/>
  <c r="B8668" i="1"/>
  <c r="B8667" i="1"/>
  <c r="B8666" i="1"/>
  <c r="B8665" i="1"/>
  <c r="B8664" i="1"/>
  <c r="B8663" i="1"/>
  <c r="B8662" i="1"/>
  <c r="B8661" i="1"/>
  <c r="B8660" i="1"/>
  <c r="B8659" i="1"/>
  <c r="B8658" i="1"/>
  <c r="B8657" i="1"/>
  <c r="B8656" i="1"/>
  <c r="B8655" i="1"/>
  <c r="B8654" i="1"/>
  <c r="B8653" i="1"/>
  <c r="B8652" i="1"/>
  <c r="B8651" i="1"/>
  <c r="B8650" i="1"/>
  <c r="B8649" i="1"/>
  <c r="B8648" i="1"/>
  <c r="B8647" i="1"/>
  <c r="B8646" i="1"/>
  <c r="B8645" i="1"/>
  <c r="B8644" i="1"/>
  <c r="B8643" i="1"/>
  <c r="B8642" i="1"/>
  <c r="B8641" i="1"/>
  <c r="B8640" i="1"/>
  <c r="B8639" i="1"/>
  <c r="B8638" i="1"/>
  <c r="B8637" i="1"/>
  <c r="B8636" i="1"/>
  <c r="B8635" i="1"/>
  <c r="B8634" i="1"/>
  <c r="B8633" i="1"/>
  <c r="B8632" i="1"/>
  <c r="B8631" i="1"/>
  <c r="B8630" i="1"/>
  <c r="B8629" i="1"/>
  <c r="B8628" i="1"/>
  <c r="B8627" i="1"/>
  <c r="B8626" i="1"/>
  <c r="B8625" i="1"/>
  <c r="B8624" i="1"/>
  <c r="B8623" i="1"/>
  <c r="B8622" i="1"/>
  <c r="B8621" i="1"/>
  <c r="B8620" i="1"/>
  <c r="B8619" i="1"/>
  <c r="B8618" i="1"/>
  <c r="B8617" i="1"/>
  <c r="B8616" i="1"/>
  <c r="B8615" i="1"/>
  <c r="B8614" i="1"/>
  <c r="B8613" i="1"/>
  <c r="B8612" i="1"/>
  <c r="B8611" i="1"/>
  <c r="B8610" i="1"/>
  <c r="B8609" i="1"/>
  <c r="B8608" i="1"/>
  <c r="B8607" i="1"/>
  <c r="B8606" i="1"/>
  <c r="B8605" i="1"/>
  <c r="B8604" i="1"/>
  <c r="B8603" i="1"/>
  <c r="B8602" i="1"/>
  <c r="B8601" i="1"/>
  <c r="B8600" i="1"/>
  <c r="B8599" i="1"/>
  <c r="B8598" i="1"/>
  <c r="B8597" i="1"/>
  <c r="B8596" i="1"/>
  <c r="B8595" i="1"/>
  <c r="B8594" i="1"/>
  <c r="B8593" i="1"/>
  <c r="B8592" i="1"/>
  <c r="B8591" i="1"/>
  <c r="B8590" i="1"/>
  <c r="B8589" i="1"/>
  <c r="B8588" i="1"/>
  <c r="B8587" i="1"/>
  <c r="B8586" i="1"/>
  <c r="B8585" i="1"/>
  <c r="B8584" i="1"/>
  <c r="B8583" i="1"/>
  <c r="B8582" i="1"/>
  <c r="B8581" i="1"/>
  <c r="B8580" i="1"/>
  <c r="B8579" i="1"/>
  <c r="B8578" i="1"/>
  <c r="B8577" i="1"/>
  <c r="B8576" i="1"/>
  <c r="B8575" i="1"/>
  <c r="B8574" i="1"/>
  <c r="B8573" i="1"/>
  <c r="B8572" i="1"/>
  <c r="B8571" i="1"/>
  <c r="B8570" i="1"/>
  <c r="B8569" i="1"/>
  <c r="B8568" i="1"/>
  <c r="B8567" i="1"/>
  <c r="B8566" i="1"/>
  <c r="B8565" i="1"/>
  <c r="B8564" i="1"/>
  <c r="B8563" i="1"/>
  <c r="B8562" i="1"/>
  <c r="B8561" i="1"/>
  <c r="B8560" i="1"/>
  <c r="B8559" i="1"/>
  <c r="B8558" i="1"/>
  <c r="B8557" i="1"/>
  <c r="B8556" i="1"/>
  <c r="B8555" i="1"/>
  <c r="B8554" i="1"/>
  <c r="B8553" i="1"/>
  <c r="B8552" i="1"/>
  <c r="B8551" i="1"/>
  <c r="B8550" i="1"/>
  <c r="B8549" i="1"/>
  <c r="B8548" i="1"/>
  <c r="B8547" i="1"/>
  <c r="B8546" i="1"/>
  <c r="B8545" i="1"/>
  <c r="B8544" i="1"/>
  <c r="B8543" i="1"/>
  <c r="B8542" i="1"/>
  <c r="B8541" i="1"/>
  <c r="B8540" i="1"/>
  <c r="B8539" i="1"/>
  <c r="B8538" i="1"/>
  <c r="B8537" i="1"/>
  <c r="B8536" i="1"/>
  <c r="B8535" i="1"/>
  <c r="B8534" i="1"/>
  <c r="B8533" i="1"/>
  <c r="B8532" i="1"/>
  <c r="B8531" i="1"/>
  <c r="B8530" i="1"/>
  <c r="B8529" i="1"/>
  <c r="B8528" i="1"/>
  <c r="B8527" i="1"/>
  <c r="B8526" i="1"/>
  <c r="B8525" i="1"/>
  <c r="B8524" i="1"/>
  <c r="B8523" i="1"/>
  <c r="B8522" i="1"/>
  <c r="B8521" i="1"/>
  <c r="B8520" i="1"/>
  <c r="B8519" i="1"/>
  <c r="B8518" i="1"/>
  <c r="B8517" i="1"/>
  <c r="B8516" i="1"/>
  <c r="B8515" i="1"/>
  <c r="B8514" i="1"/>
  <c r="B8513" i="1"/>
  <c r="B8512" i="1"/>
  <c r="B8511" i="1"/>
  <c r="B8510" i="1"/>
  <c r="B8509" i="1"/>
  <c r="B8508" i="1"/>
  <c r="B8507" i="1"/>
  <c r="B8506" i="1"/>
  <c r="B8505" i="1"/>
  <c r="B8504" i="1"/>
  <c r="B8503" i="1"/>
  <c r="B8502" i="1"/>
  <c r="B8501" i="1"/>
  <c r="B8500" i="1"/>
  <c r="B8499" i="1"/>
  <c r="B8498" i="1"/>
  <c r="B8497" i="1"/>
  <c r="B8496" i="1"/>
  <c r="B8495" i="1"/>
  <c r="B8494" i="1"/>
  <c r="B8493" i="1"/>
  <c r="B8492" i="1"/>
  <c r="B8491" i="1"/>
  <c r="B8490" i="1"/>
  <c r="B8489" i="1"/>
  <c r="B8488" i="1"/>
  <c r="B8487" i="1"/>
  <c r="B8486" i="1"/>
  <c r="B8485" i="1"/>
  <c r="B8484" i="1"/>
  <c r="B8483" i="1"/>
  <c r="B8482" i="1"/>
  <c r="B8481" i="1"/>
  <c r="B8480" i="1"/>
  <c r="B8479" i="1"/>
  <c r="B8478" i="1"/>
  <c r="B8477" i="1"/>
  <c r="B8476" i="1"/>
  <c r="B8475" i="1"/>
  <c r="B8474" i="1"/>
  <c r="B8473" i="1"/>
  <c r="B8472" i="1"/>
  <c r="B8471" i="1"/>
  <c r="B8470" i="1"/>
  <c r="B8469" i="1"/>
  <c r="B8468" i="1"/>
  <c r="B8467" i="1"/>
  <c r="B8466" i="1"/>
  <c r="B8465" i="1"/>
  <c r="B8464" i="1"/>
  <c r="B8463" i="1"/>
  <c r="B8462" i="1"/>
  <c r="B8461" i="1"/>
  <c r="B8460" i="1"/>
  <c r="B8459" i="1"/>
  <c r="B8458" i="1"/>
  <c r="B8457" i="1"/>
  <c r="B8456" i="1"/>
  <c r="B8455" i="1"/>
  <c r="B8454" i="1"/>
  <c r="B8453" i="1"/>
  <c r="B8452" i="1"/>
  <c r="B8451" i="1"/>
  <c r="B8450" i="1"/>
  <c r="B8449" i="1"/>
  <c r="B8448" i="1"/>
  <c r="B8447" i="1"/>
  <c r="B8446" i="1"/>
  <c r="B8445" i="1"/>
  <c r="B8444" i="1"/>
  <c r="B8443" i="1"/>
  <c r="B8442" i="1"/>
  <c r="B8441" i="1"/>
  <c r="B8440" i="1"/>
  <c r="B8439" i="1"/>
  <c r="B8438" i="1"/>
  <c r="B8437" i="1"/>
  <c r="B8436" i="1"/>
  <c r="B8435" i="1"/>
  <c r="B8434" i="1"/>
  <c r="B8433" i="1"/>
  <c r="B8432" i="1"/>
  <c r="B8431" i="1"/>
  <c r="B8430" i="1"/>
  <c r="B8429" i="1"/>
  <c r="B8428" i="1"/>
  <c r="B8427" i="1"/>
  <c r="B8426" i="1"/>
  <c r="B8425" i="1"/>
  <c r="B8424" i="1"/>
  <c r="B8423" i="1"/>
  <c r="B8422" i="1"/>
  <c r="B8421" i="1"/>
  <c r="B8420" i="1"/>
  <c r="B8419" i="1"/>
  <c r="B8418" i="1"/>
  <c r="B8417" i="1"/>
  <c r="B8416" i="1"/>
  <c r="B8415" i="1"/>
  <c r="B8414" i="1"/>
  <c r="B8413" i="1"/>
  <c r="B8412" i="1"/>
  <c r="B8411" i="1"/>
  <c r="B8410" i="1"/>
  <c r="B8409" i="1"/>
  <c r="B8408" i="1"/>
  <c r="B8407" i="1"/>
  <c r="B8406" i="1"/>
  <c r="B8405" i="1"/>
  <c r="B8404" i="1"/>
  <c r="B8403" i="1"/>
  <c r="B8402" i="1"/>
  <c r="B8401" i="1"/>
  <c r="B8400" i="1"/>
  <c r="B8399" i="1"/>
  <c r="B8398" i="1"/>
  <c r="B8397" i="1"/>
  <c r="B8396" i="1"/>
  <c r="B8395" i="1"/>
  <c r="B8394" i="1"/>
  <c r="B8393" i="1"/>
  <c r="B8392" i="1"/>
  <c r="B8391" i="1"/>
  <c r="B8390" i="1"/>
  <c r="B8389" i="1"/>
  <c r="B8388" i="1"/>
  <c r="B8387" i="1"/>
  <c r="B8386" i="1"/>
  <c r="B8385" i="1"/>
  <c r="B8384" i="1"/>
  <c r="B8383" i="1"/>
  <c r="B8382" i="1"/>
  <c r="B8381" i="1"/>
  <c r="B8380" i="1"/>
  <c r="B8379" i="1"/>
  <c r="B8378" i="1"/>
  <c r="B8377" i="1"/>
  <c r="B8376" i="1"/>
  <c r="B8375" i="1"/>
  <c r="B8374" i="1"/>
  <c r="B8373" i="1"/>
  <c r="B8372" i="1"/>
  <c r="B8371" i="1"/>
  <c r="B8370" i="1"/>
  <c r="B8369" i="1"/>
  <c r="B8368" i="1"/>
  <c r="B8367" i="1"/>
  <c r="B8366" i="1"/>
  <c r="B8365" i="1"/>
  <c r="B8364" i="1"/>
  <c r="B8363" i="1"/>
  <c r="B8362" i="1"/>
  <c r="B8361" i="1"/>
  <c r="B8360" i="1"/>
  <c r="B8359" i="1"/>
  <c r="B8358" i="1"/>
  <c r="B8357" i="1"/>
  <c r="B8356" i="1"/>
  <c r="B8355" i="1"/>
  <c r="B8354" i="1"/>
  <c r="B8353" i="1"/>
  <c r="B8352" i="1"/>
  <c r="B8351" i="1"/>
  <c r="B8350" i="1"/>
  <c r="B8349" i="1"/>
  <c r="B8348" i="1"/>
  <c r="B8347" i="1"/>
  <c r="B8346" i="1"/>
  <c r="B8345" i="1"/>
  <c r="B8344" i="1"/>
  <c r="B8343" i="1"/>
  <c r="B8342" i="1"/>
  <c r="B8341" i="1"/>
  <c r="B8340" i="1"/>
  <c r="B8339" i="1"/>
  <c r="B8338" i="1"/>
  <c r="B8337" i="1"/>
  <c r="B8336" i="1"/>
  <c r="B8335" i="1"/>
  <c r="B8334" i="1"/>
  <c r="B8333" i="1"/>
  <c r="B8332" i="1"/>
  <c r="B8331" i="1"/>
  <c r="B8330" i="1"/>
  <c r="B8329" i="1"/>
  <c r="B8328" i="1"/>
  <c r="B8327" i="1"/>
  <c r="B8326" i="1"/>
  <c r="B8325" i="1"/>
  <c r="B8324" i="1"/>
  <c r="B8323" i="1"/>
  <c r="B8322" i="1"/>
  <c r="B8321" i="1"/>
  <c r="B8320" i="1"/>
  <c r="B8319" i="1"/>
  <c r="B8318" i="1"/>
  <c r="B8317" i="1"/>
  <c r="B8316" i="1"/>
  <c r="B8315" i="1"/>
  <c r="B8314" i="1"/>
  <c r="B8313" i="1"/>
  <c r="B8312" i="1"/>
  <c r="B8311" i="1"/>
  <c r="B8310" i="1"/>
  <c r="B8309" i="1"/>
  <c r="B8308" i="1"/>
  <c r="B8307" i="1"/>
  <c r="B8306" i="1"/>
  <c r="B8305" i="1"/>
  <c r="B8304" i="1"/>
  <c r="B8303" i="1"/>
  <c r="B8302" i="1"/>
  <c r="B8301" i="1"/>
  <c r="B8300" i="1"/>
  <c r="B8299" i="1"/>
  <c r="B8298" i="1"/>
  <c r="B8297" i="1"/>
  <c r="B8296" i="1"/>
  <c r="B8295" i="1"/>
  <c r="B8294" i="1"/>
  <c r="B8293" i="1"/>
  <c r="B8292" i="1"/>
  <c r="B8291" i="1"/>
  <c r="B8290" i="1"/>
  <c r="B8289" i="1"/>
  <c r="B8288" i="1"/>
  <c r="B8287" i="1"/>
  <c r="B8286" i="1"/>
  <c r="B8285" i="1"/>
  <c r="B8284" i="1"/>
  <c r="B8283" i="1"/>
  <c r="B8282" i="1"/>
  <c r="B8281" i="1"/>
  <c r="B8280" i="1"/>
  <c r="B8279" i="1"/>
  <c r="B8278" i="1"/>
  <c r="B8277" i="1"/>
  <c r="B8276" i="1"/>
  <c r="B8275" i="1"/>
  <c r="B8274" i="1"/>
  <c r="B8273" i="1"/>
  <c r="B8272" i="1"/>
  <c r="B8271" i="1"/>
  <c r="B8270" i="1"/>
  <c r="B8269" i="1"/>
  <c r="B8268" i="1"/>
  <c r="B8267" i="1"/>
  <c r="B8266" i="1"/>
  <c r="B8265" i="1"/>
  <c r="B8264" i="1"/>
  <c r="B8263" i="1"/>
  <c r="B8262" i="1"/>
  <c r="B8261" i="1"/>
  <c r="B8260" i="1"/>
  <c r="B8259" i="1"/>
  <c r="B8258" i="1"/>
  <c r="B8257" i="1"/>
  <c r="B8256" i="1"/>
  <c r="B8255" i="1"/>
  <c r="B8254" i="1"/>
  <c r="B8253" i="1"/>
  <c r="B8252" i="1"/>
  <c r="B8251" i="1"/>
  <c r="B8250" i="1"/>
  <c r="B8249" i="1"/>
  <c r="B8248" i="1"/>
  <c r="B8247" i="1"/>
  <c r="B8246" i="1"/>
  <c r="B8245" i="1"/>
  <c r="B8244" i="1"/>
  <c r="B8243" i="1"/>
  <c r="B8242" i="1"/>
  <c r="B8241" i="1"/>
  <c r="B8240" i="1"/>
  <c r="B8239" i="1"/>
  <c r="B8238" i="1"/>
  <c r="B8237" i="1"/>
  <c r="B8236" i="1"/>
  <c r="B8235" i="1"/>
  <c r="B8234" i="1"/>
  <c r="B8233" i="1"/>
  <c r="B8232" i="1"/>
  <c r="B8231" i="1"/>
  <c r="B8230" i="1"/>
  <c r="B8229" i="1"/>
  <c r="B8228" i="1"/>
  <c r="B8227" i="1"/>
  <c r="B8226" i="1"/>
  <c r="B8225" i="1"/>
  <c r="B8224" i="1"/>
  <c r="B8223" i="1"/>
  <c r="B8222" i="1"/>
  <c r="B8221" i="1"/>
  <c r="B8220" i="1"/>
  <c r="B8219" i="1"/>
  <c r="B8218" i="1"/>
  <c r="B8217" i="1"/>
  <c r="B8216" i="1"/>
  <c r="B8215" i="1"/>
  <c r="B8214" i="1"/>
  <c r="B8213" i="1"/>
  <c r="B8212" i="1"/>
  <c r="B8211" i="1"/>
  <c r="B8210" i="1"/>
  <c r="B8209" i="1"/>
  <c r="B8208" i="1"/>
  <c r="B8207" i="1"/>
  <c r="B8206" i="1"/>
  <c r="B8205" i="1"/>
  <c r="B8204" i="1"/>
  <c r="B8203" i="1"/>
  <c r="B8202" i="1"/>
  <c r="B8201" i="1"/>
  <c r="B8200" i="1"/>
  <c r="B8199" i="1"/>
  <c r="B8198" i="1"/>
  <c r="B8197" i="1"/>
  <c r="B8196" i="1"/>
  <c r="B8195" i="1"/>
  <c r="B8194" i="1"/>
  <c r="B8193" i="1"/>
  <c r="B8192" i="1"/>
  <c r="B8191" i="1"/>
  <c r="B8190" i="1"/>
  <c r="B8189" i="1"/>
  <c r="B8188" i="1"/>
  <c r="B8187" i="1"/>
  <c r="B8186" i="1"/>
  <c r="B8185" i="1"/>
  <c r="B8184" i="1"/>
  <c r="B8183" i="1"/>
  <c r="B8182" i="1"/>
  <c r="B8181" i="1"/>
  <c r="B8180" i="1"/>
  <c r="B8179" i="1"/>
  <c r="B8178" i="1"/>
  <c r="B8177" i="1"/>
  <c r="B8176" i="1"/>
  <c r="B8175" i="1"/>
  <c r="B8174" i="1"/>
  <c r="B8173" i="1"/>
  <c r="B8172" i="1"/>
  <c r="B8171" i="1"/>
  <c r="B8170" i="1"/>
  <c r="B8169" i="1"/>
  <c r="B8168" i="1"/>
  <c r="B8167" i="1"/>
  <c r="B8166" i="1"/>
  <c r="B8165" i="1"/>
  <c r="B8164" i="1"/>
  <c r="B8163" i="1"/>
  <c r="B8162" i="1"/>
  <c r="B8161" i="1"/>
  <c r="B8160" i="1"/>
  <c r="B8159" i="1"/>
  <c r="B8158" i="1"/>
  <c r="B8157" i="1"/>
  <c r="B8156" i="1"/>
  <c r="B8155" i="1"/>
  <c r="B8154" i="1"/>
  <c r="B8153" i="1"/>
  <c r="B8152" i="1"/>
  <c r="B8151" i="1"/>
  <c r="B8150" i="1"/>
  <c r="B8149" i="1"/>
  <c r="B8148" i="1"/>
  <c r="B8147" i="1"/>
  <c r="B8146" i="1"/>
  <c r="B8145" i="1"/>
  <c r="B8144" i="1"/>
  <c r="B8143" i="1"/>
  <c r="B8142" i="1"/>
  <c r="B8141" i="1"/>
  <c r="B8140" i="1"/>
  <c r="B8139" i="1"/>
  <c r="B8138" i="1"/>
  <c r="B8137" i="1"/>
  <c r="B8136" i="1"/>
  <c r="B8135" i="1"/>
  <c r="B8134" i="1"/>
  <c r="B8133" i="1"/>
  <c r="B8132" i="1"/>
  <c r="B8131" i="1"/>
  <c r="B8130" i="1"/>
  <c r="B8129" i="1"/>
  <c r="B8128" i="1"/>
  <c r="B8127" i="1"/>
  <c r="B8126" i="1"/>
  <c r="B8125" i="1"/>
  <c r="B8124" i="1"/>
  <c r="B8123" i="1"/>
  <c r="B8122" i="1"/>
  <c r="B8121" i="1"/>
  <c r="B8120" i="1"/>
  <c r="B8119" i="1"/>
  <c r="B8118" i="1"/>
  <c r="B8117" i="1"/>
  <c r="B8116" i="1"/>
  <c r="B8115" i="1"/>
  <c r="B8114" i="1"/>
  <c r="B8113" i="1"/>
  <c r="B8112" i="1"/>
  <c r="B8111" i="1"/>
  <c r="B8110" i="1"/>
  <c r="B8109" i="1"/>
  <c r="B8108" i="1"/>
  <c r="B8107" i="1"/>
  <c r="B8106" i="1"/>
  <c r="B8105" i="1"/>
  <c r="B8104" i="1"/>
  <c r="B8103" i="1"/>
  <c r="B8102" i="1"/>
  <c r="B8101" i="1"/>
  <c r="B8100" i="1"/>
  <c r="B8099" i="1"/>
  <c r="B8098" i="1"/>
  <c r="B8097" i="1"/>
  <c r="B8096" i="1"/>
  <c r="B8095" i="1"/>
  <c r="B8094" i="1"/>
  <c r="B8093" i="1"/>
  <c r="B8092" i="1"/>
  <c r="B8091" i="1"/>
  <c r="B8090" i="1"/>
  <c r="B8089" i="1"/>
  <c r="B8088" i="1"/>
  <c r="B8087" i="1"/>
  <c r="B8086" i="1"/>
  <c r="B8085" i="1"/>
  <c r="B8084" i="1"/>
  <c r="B8083" i="1"/>
  <c r="B8082" i="1"/>
  <c r="B8081" i="1"/>
  <c r="B8080" i="1"/>
  <c r="B8079" i="1"/>
  <c r="B8078" i="1"/>
  <c r="B8077" i="1"/>
  <c r="B8076" i="1"/>
  <c r="B8075" i="1"/>
  <c r="B8074" i="1"/>
  <c r="B8073" i="1"/>
  <c r="B8072" i="1"/>
  <c r="B8071" i="1"/>
  <c r="B8070" i="1"/>
  <c r="B8069" i="1"/>
  <c r="B8068" i="1"/>
  <c r="B8067" i="1"/>
  <c r="B8066" i="1"/>
  <c r="B8065" i="1"/>
  <c r="B8064" i="1"/>
  <c r="B8063" i="1"/>
  <c r="B8062" i="1"/>
  <c r="B8061" i="1"/>
  <c r="B8060" i="1"/>
  <c r="B8059" i="1"/>
  <c r="B8058" i="1"/>
  <c r="B8057" i="1"/>
  <c r="B8056" i="1"/>
  <c r="B8055" i="1"/>
  <c r="B8054" i="1"/>
  <c r="B8053" i="1"/>
  <c r="B8052" i="1"/>
  <c r="B8051" i="1"/>
  <c r="B8050" i="1"/>
  <c r="B8049" i="1"/>
  <c r="B8048" i="1"/>
  <c r="B8047" i="1"/>
  <c r="B8046" i="1"/>
  <c r="B8045" i="1"/>
  <c r="B8044" i="1"/>
  <c r="B8043" i="1"/>
  <c r="B8042" i="1"/>
  <c r="B8041" i="1"/>
  <c r="B8040" i="1"/>
  <c r="B8039" i="1"/>
  <c r="B8038" i="1"/>
  <c r="B8037" i="1"/>
  <c r="B8036" i="1"/>
  <c r="B8035" i="1"/>
  <c r="B8034" i="1"/>
  <c r="B8033" i="1"/>
  <c r="B8032" i="1"/>
  <c r="B8031" i="1"/>
  <c r="B8030" i="1"/>
  <c r="B8029" i="1"/>
  <c r="B8028" i="1"/>
  <c r="B8027" i="1"/>
  <c r="B8026" i="1"/>
  <c r="B8025" i="1"/>
  <c r="B8024" i="1"/>
  <c r="B8023" i="1"/>
  <c r="B8022" i="1"/>
  <c r="B8021" i="1"/>
  <c r="B8020" i="1"/>
  <c r="B8019" i="1"/>
  <c r="B8018" i="1"/>
  <c r="B8017" i="1"/>
  <c r="B8016" i="1"/>
  <c r="B8015" i="1"/>
  <c r="B8014" i="1"/>
  <c r="B8013" i="1"/>
  <c r="B8012" i="1"/>
  <c r="B8011" i="1"/>
  <c r="B8010" i="1"/>
  <c r="B8009" i="1"/>
  <c r="B8008" i="1"/>
  <c r="B8007" i="1"/>
  <c r="B8006" i="1"/>
  <c r="B8005" i="1"/>
  <c r="B8004" i="1"/>
  <c r="B8003" i="1"/>
  <c r="B8002" i="1"/>
  <c r="B8001" i="1"/>
  <c r="B8000" i="1"/>
  <c r="B7999" i="1"/>
  <c r="B7998" i="1"/>
  <c r="B7997" i="1"/>
  <c r="B7996" i="1"/>
  <c r="B7995" i="1"/>
  <c r="B7994" i="1"/>
  <c r="B7993" i="1"/>
  <c r="B7992" i="1"/>
  <c r="B7991" i="1"/>
  <c r="B7990" i="1"/>
  <c r="B7989" i="1"/>
  <c r="B7988" i="1"/>
  <c r="B7987" i="1"/>
  <c r="B7986" i="1"/>
  <c r="B7985" i="1"/>
  <c r="B7984" i="1"/>
  <c r="B7983" i="1"/>
  <c r="B7982" i="1"/>
  <c r="B7981" i="1"/>
  <c r="B7980" i="1"/>
  <c r="B7979" i="1"/>
  <c r="B7978" i="1"/>
  <c r="B7977" i="1"/>
  <c r="B7976" i="1"/>
  <c r="B7975" i="1"/>
  <c r="B7974" i="1"/>
  <c r="B7973" i="1"/>
  <c r="B7972" i="1"/>
  <c r="B7971" i="1"/>
  <c r="B7970" i="1"/>
  <c r="B7969" i="1"/>
  <c r="B7968" i="1"/>
  <c r="B7967" i="1"/>
  <c r="B7966" i="1"/>
  <c r="B7965" i="1"/>
  <c r="B7964" i="1"/>
  <c r="B7963" i="1"/>
  <c r="B7962" i="1"/>
  <c r="B7961" i="1"/>
  <c r="B7960" i="1"/>
  <c r="B7959" i="1"/>
  <c r="B7958" i="1"/>
  <c r="B7957" i="1"/>
  <c r="B7956" i="1"/>
  <c r="B7955" i="1"/>
  <c r="B7954" i="1"/>
  <c r="B7953" i="1"/>
  <c r="B7952" i="1"/>
  <c r="B7951" i="1"/>
  <c r="B7950" i="1"/>
  <c r="B7949" i="1"/>
  <c r="B7948" i="1"/>
  <c r="B7947" i="1"/>
  <c r="B7946" i="1"/>
  <c r="B7945" i="1"/>
  <c r="B7944" i="1"/>
  <c r="B7943" i="1"/>
  <c r="B7942" i="1"/>
  <c r="B7941" i="1"/>
  <c r="B7940" i="1"/>
  <c r="B7939" i="1"/>
  <c r="B7938" i="1"/>
  <c r="B7937" i="1"/>
  <c r="B7936" i="1"/>
  <c r="B7935" i="1"/>
  <c r="B7934" i="1"/>
  <c r="B7933" i="1"/>
  <c r="B7932" i="1"/>
  <c r="B7931" i="1"/>
  <c r="B7930" i="1"/>
  <c r="B7929" i="1"/>
  <c r="B7928" i="1"/>
  <c r="B7927" i="1"/>
  <c r="B7926" i="1"/>
  <c r="B7925" i="1"/>
  <c r="B7924" i="1"/>
  <c r="B7923" i="1"/>
  <c r="B7922" i="1"/>
  <c r="B7921" i="1"/>
  <c r="B7920" i="1"/>
  <c r="B7919" i="1"/>
  <c r="B7918" i="1"/>
  <c r="B7917" i="1"/>
  <c r="B7916" i="1"/>
  <c r="B7915" i="1"/>
  <c r="B7914" i="1"/>
  <c r="B7913" i="1"/>
  <c r="B7912" i="1"/>
  <c r="B7911" i="1"/>
  <c r="B7910" i="1"/>
  <c r="B7909" i="1"/>
  <c r="B7908" i="1"/>
  <c r="B7907" i="1"/>
  <c r="B7906" i="1"/>
  <c r="B7905" i="1"/>
  <c r="B7904" i="1"/>
  <c r="B7903" i="1"/>
  <c r="B7902" i="1"/>
  <c r="B7901" i="1"/>
  <c r="B7900" i="1"/>
  <c r="B7899" i="1"/>
  <c r="B7898" i="1"/>
  <c r="B7897" i="1"/>
  <c r="B7896" i="1"/>
  <c r="B7895" i="1"/>
  <c r="B7894" i="1"/>
  <c r="B7893" i="1"/>
  <c r="B7892" i="1"/>
  <c r="B7891" i="1"/>
  <c r="B7890" i="1"/>
  <c r="B7889" i="1"/>
  <c r="B7888" i="1"/>
  <c r="B7887" i="1"/>
  <c r="B7886" i="1"/>
  <c r="B7885" i="1"/>
  <c r="B7884" i="1"/>
  <c r="B7883" i="1"/>
  <c r="B7882" i="1"/>
  <c r="B7881" i="1"/>
  <c r="B7880" i="1"/>
  <c r="B7879" i="1"/>
  <c r="B7878" i="1"/>
  <c r="B7877" i="1"/>
  <c r="B7876" i="1"/>
  <c r="B7875" i="1"/>
  <c r="B7874" i="1"/>
  <c r="B7873" i="1"/>
  <c r="B7872" i="1"/>
  <c r="B7871" i="1"/>
  <c r="B7870" i="1"/>
  <c r="B7869" i="1"/>
  <c r="B7868" i="1"/>
  <c r="B7867" i="1"/>
  <c r="B7866" i="1"/>
  <c r="B7865" i="1"/>
  <c r="B7864" i="1"/>
  <c r="B7863" i="1"/>
  <c r="B7862" i="1"/>
  <c r="B7861" i="1"/>
  <c r="B7860" i="1"/>
  <c r="B7859" i="1"/>
  <c r="B7858" i="1"/>
  <c r="B7857" i="1"/>
  <c r="B7856" i="1"/>
  <c r="B7855" i="1"/>
  <c r="B7854" i="1"/>
  <c r="B7853" i="1"/>
  <c r="B7852" i="1"/>
  <c r="B7851" i="1"/>
  <c r="B7850" i="1"/>
  <c r="B7849" i="1"/>
  <c r="B7848" i="1"/>
  <c r="B7847" i="1"/>
  <c r="B7846" i="1"/>
  <c r="B7845" i="1"/>
  <c r="B7844" i="1"/>
  <c r="B7843" i="1"/>
  <c r="B7842" i="1"/>
  <c r="B7841" i="1"/>
  <c r="B7840" i="1"/>
  <c r="B7839" i="1"/>
  <c r="B7838" i="1"/>
  <c r="B7837" i="1"/>
  <c r="B7836" i="1"/>
  <c r="B7835" i="1"/>
  <c r="B7834" i="1"/>
  <c r="B7833" i="1"/>
  <c r="B7832" i="1"/>
  <c r="B7831" i="1"/>
  <c r="B7830" i="1"/>
  <c r="B7829" i="1"/>
  <c r="B7828" i="1"/>
  <c r="B7827" i="1"/>
  <c r="B7826" i="1"/>
  <c r="B7825" i="1"/>
  <c r="B7824" i="1"/>
  <c r="B7823" i="1"/>
  <c r="B7822" i="1"/>
  <c r="B7821" i="1"/>
  <c r="B7820" i="1"/>
  <c r="B7819" i="1"/>
  <c r="B7818" i="1"/>
  <c r="B7817" i="1"/>
  <c r="B7816" i="1"/>
  <c r="B7815" i="1"/>
  <c r="B7814" i="1"/>
  <c r="B7813" i="1"/>
  <c r="B7812" i="1"/>
  <c r="B7811" i="1"/>
  <c r="B7810" i="1"/>
  <c r="B7809" i="1"/>
  <c r="B7808" i="1"/>
  <c r="B7807" i="1"/>
  <c r="B7806" i="1"/>
  <c r="B7805" i="1"/>
  <c r="B7804" i="1"/>
  <c r="B7803" i="1"/>
  <c r="B7802" i="1"/>
  <c r="B7801" i="1"/>
  <c r="B7800" i="1"/>
  <c r="B7799" i="1"/>
  <c r="B7798" i="1"/>
  <c r="B7797" i="1"/>
  <c r="B7796" i="1"/>
  <c r="B7795" i="1"/>
  <c r="B7794" i="1"/>
  <c r="B7793" i="1"/>
  <c r="B7792" i="1"/>
  <c r="B7791" i="1"/>
  <c r="B7790" i="1"/>
  <c r="B7789" i="1"/>
  <c r="B7788" i="1"/>
  <c r="B7787" i="1"/>
  <c r="B7786" i="1"/>
  <c r="B7785" i="1"/>
  <c r="B7784" i="1"/>
  <c r="B7783" i="1"/>
  <c r="B7782" i="1"/>
  <c r="B7781" i="1"/>
  <c r="B7780" i="1"/>
  <c r="B7779" i="1"/>
  <c r="B7778" i="1"/>
  <c r="B7777" i="1"/>
  <c r="B7776" i="1"/>
  <c r="B7775" i="1"/>
  <c r="B7774" i="1"/>
  <c r="B7773" i="1"/>
  <c r="B7772" i="1"/>
  <c r="B7771" i="1"/>
  <c r="B7770" i="1"/>
  <c r="B7769" i="1"/>
  <c r="B7768" i="1"/>
  <c r="B7767" i="1"/>
  <c r="B7766" i="1"/>
  <c r="B7765" i="1"/>
  <c r="B7764" i="1"/>
  <c r="B7763" i="1"/>
  <c r="B7762" i="1"/>
  <c r="B7761" i="1"/>
  <c r="B7760" i="1"/>
  <c r="B7759" i="1"/>
  <c r="B7758" i="1"/>
  <c r="B7757" i="1"/>
  <c r="B7756" i="1"/>
  <c r="B7755" i="1"/>
  <c r="B7754" i="1"/>
  <c r="B7753" i="1"/>
  <c r="B7752" i="1"/>
  <c r="B7751" i="1"/>
  <c r="B7750" i="1"/>
  <c r="B7749" i="1"/>
  <c r="B7748" i="1"/>
  <c r="B7747" i="1"/>
  <c r="B7746" i="1"/>
  <c r="B7745" i="1"/>
  <c r="B7744" i="1"/>
  <c r="B7743" i="1"/>
  <c r="B7742" i="1"/>
  <c r="B7741" i="1"/>
  <c r="B7740" i="1"/>
  <c r="B7739" i="1"/>
  <c r="B7738" i="1"/>
  <c r="B7737" i="1"/>
  <c r="B7736" i="1"/>
  <c r="B7735" i="1"/>
  <c r="B7734" i="1"/>
  <c r="B7733" i="1"/>
  <c r="B7732" i="1"/>
  <c r="B7731" i="1"/>
  <c r="B7730" i="1"/>
  <c r="B7729" i="1"/>
  <c r="B7728" i="1"/>
  <c r="B7727" i="1"/>
  <c r="B7726" i="1"/>
  <c r="B7725" i="1"/>
  <c r="B7724" i="1"/>
  <c r="B7723" i="1"/>
  <c r="B7722" i="1"/>
  <c r="B7721" i="1"/>
  <c r="B7720" i="1"/>
  <c r="B7719" i="1"/>
  <c r="B7718" i="1"/>
  <c r="B7717" i="1"/>
  <c r="B7716" i="1"/>
  <c r="B7715" i="1"/>
  <c r="B7714" i="1"/>
  <c r="B7713" i="1"/>
  <c r="B7712" i="1"/>
  <c r="B7711" i="1"/>
  <c r="B7710" i="1"/>
  <c r="B7709" i="1"/>
  <c r="B7708" i="1"/>
  <c r="B7707" i="1"/>
  <c r="B7706" i="1"/>
  <c r="B7705" i="1"/>
  <c r="B7704" i="1"/>
  <c r="B7703" i="1"/>
  <c r="B7702" i="1"/>
  <c r="B7701" i="1"/>
  <c r="B7700" i="1"/>
  <c r="B7699" i="1"/>
  <c r="B7698" i="1"/>
  <c r="B7697" i="1"/>
  <c r="B7696" i="1"/>
  <c r="B7695" i="1"/>
  <c r="B7694" i="1"/>
  <c r="B7693" i="1"/>
  <c r="B7692" i="1"/>
  <c r="B7691" i="1"/>
  <c r="B7690" i="1"/>
  <c r="B7689" i="1"/>
  <c r="B7688" i="1"/>
  <c r="B7687" i="1"/>
  <c r="B7686" i="1"/>
  <c r="B7685" i="1"/>
  <c r="B7684" i="1"/>
  <c r="B7683" i="1"/>
  <c r="B7682" i="1"/>
  <c r="B7681" i="1"/>
  <c r="B7680" i="1"/>
  <c r="B7679" i="1"/>
  <c r="B7678" i="1"/>
  <c r="B7677" i="1"/>
  <c r="B7676" i="1"/>
  <c r="B7675" i="1"/>
  <c r="B7674" i="1"/>
  <c r="B7673" i="1"/>
  <c r="B7672" i="1"/>
  <c r="B7671" i="1"/>
  <c r="B7670" i="1"/>
  <c r="B7669" i="1"/>
  <c r="B7668" i="1"/>
  <c r="B7667" i="1"/>
  <c r="B7666" i="1"/>
  <c r="B7665" i="1"/>
  <c r="B7664" i="1"/>
  <c r="B7663" i="1"/>
  <c r="B7662" i="1"/>
  <c r="B7661" i="1"/>
  <c r="B7660" i="1"/>
  <c r="B7659" i="1"/>
  <c r="B7658" i="1"/>
  <c r="B7657" i="1"/>
  <c r="B7656" i="1"/>
  <c r="B7655" i="1"/>
  <c r="B7654" i="1"/>
  <c r="B7653" i="1"/>
  <c r="B7652" i="1"/>
  <c r="B7651" i="1"/>
  <c r="B7650" i="1"/>
  <c r="B7649" i="1"/>
  <c r="B7648" i="1"/>
  <c r="B7647" i="1"/>
  <c r="B7646" i="1"/>
  <c r="B7645" i="1"/>
  <c r="B7644" i="1"/>
  <c r="B7643" i="1"/>
  <c r="B7642" i="1"/>
  <c r="B7641" i="1"/>
  <c r="B7640" i="1"/>
  <c r="B7639" i="1"/>
  <c r="B7638" i="1"/>
  <c r="B7637" i="1"/>
  <c r="B7636" i="1"/>
  <c r="B7635" i="1"/>
  <c r="B7634" i="1"/>
  <c r="B7633" i="1"/>
  <c r="B7632" i="1"/>
  <c r="B7631" i="1"/>
  <c r="B7630" i="1"/>
  <c r="B7629" i="1"/>
  <c r="B7628" i="1"/>
  <c r="B7627" i="1"/>
  <c r="B7626" i="1"/>
  <c r="B7625" i="1"/>
  <c r="B7624" i="1"/>
  <c r="B7623" i="1"/>
  <c r="B7622" i="1"/>
  <c r="B7621" i="1"/>
  <c r="B7620" i="1"/>
  <c r="B7619" i="1"/>
  <c r="B7618" i="1"/>
  <c r="B7617" i="1"/>
  <c r="B7616" i="1"/>
  <c r="B7615" i="1"/>
  <c r="B7614" i="1"/>
  <c r="B7613" i="1"/>
  <c r="B7612" i="1"/>
  <c r="B7611" i="1"/>
  <c r="B7610" i="1"/>
  <c r="B7609" i="1"/>
  <c r="B7608" i="1"/>
  <c r="B7607" i="1"/>
  <c r="B7606" i="1"/>
  <c r="B7605" i="1"/>
  <c r="B7604" i="1"/>
  <c r="B7603" i="1"/>
  <c r="B7602" i="1"/>
  <c r="B7601" i="1"/>
  <c r="B7600" i="1"/>
  <c r="B7599" i="1"/>
  <c r="B7598" i="1"/>
  <c r="B7597" i="1"/>
  <c r="B7596" i="1"/>
  <c r="B7595" i="1"/>
  <c r="B7594" i="1"/>
  <c r="B7593" i="1"/>
  <c r="B7592" i="1"/>
  <c r="B7591" i="1"/>
  <c r="B7590" i="1"/>
  <c r="B7589" i="1"/>
  <c r="B7588" i="1"/>
  <c r="B7587" i="1"/>
  <c r="B7586" i="1"/>
  <c r="B7585" i="1"/>
  <c r="B7584" i="1"/>
  <c r="B7583" i="1"/>
  <c r="B7582" i="1"/>
  <c r="B7581" i="1"/>
  <c r="B7580" i="1"/>
  <c r="B7579" i="1"/>
  <c r="B7578" i="1"/>
  <c r="B7577" i="1"/>
  <c r="B7576" i="1"/>
  <c r="B7575" i="1"/>
  <c r="B7574" i="1"/>
  <c r="B7573" i="1"/>
  <c r="B7572" i="1"/>
  <c r="B7571" i="1"/>
  <c r="B7570" i="1"/>
  <c r="B7569" i="1"/>
  <c r="B7568" i="1"/>
  <c r="B7567" i="1"/>
  <c r="B7566" i="1"/>
  <c r="B7565" i="1"/>
  <c r="B7564" i="1"/>
  <c r="B7563" i="1"/>
  <c r="B7562" i="1"/>
  <c r="B7561" i="1"/>
  <c r="B7560" i="1"/>
  <c r="B7559" i="1"/>
  <c r="B7558" i="1"/>
  <c r="B7557" i="1"/>
  <c r="B7556" i="1"/>
  <c r="B7555" i="1"/>
  <c r="B7554" i="1"/>
  <c r="B7553" i="1"/>
  <c r="B7552" i="1"/>
  <c r="B7551" i="1"/>
  <c r="B7550" i="1"/>
  <c r="B7549" i="1"/>
  <c r="B7548" i="1"/>
  <c r="B7547" i="1"/>
  <c r="B7546" i="1"/>
  <c r="B7545" i="1"/>
  <c r="B7544" i="1"/>
  <c r="B7543" i="1"/>
  <c r="B7542" i="1"/>
  <c r="B7541" i="1"/>
  <c r="B7540" i="1"/>
  <c r="B7539" i="1"/>
  <c r="B7538" i="1"/>
  <c r="B7537" i="1"/>
  <c r="B7536" i="1"/>
  <c r="B7535" i="1"/>
  <c r="B7534" i="1"/>
  <c r="B7533" i="1"/>
  <c r="B7532" i="1"/>
  <c r="B7531" i="1"/>
  <c r="B7530" i="1"/>
  <c r="B7529" i="1"/>
  <c r="B7528" i="1"/>
  <c r="B7527" i="1"/>
  <c r="B7526" i="1"/>
  <c r="B7525" i="1"/>
  <c r="B7524" i="1"/>
  <c r="B7523" i="1"/>
  <c r="B7522" i="1"/>
  <c r="B7521" i="1"/>
  <c r="B7520" i="1"/>
  <c r="B7519" i="1"/>
  <c r="B7518" i="1"/>
  <c r="B7517" i="1"/>
  <c r="B7516" i="1"/>
  <c r="B7515" i="1"/>
  <c r="B7514" i="1"/>
  <c r="B7513" i="1"/>
  <c r="B7512" i="1"/>
  <c r="B7511" i="1"/>
  <c r="B7510" i="1"/>
  <c r="B7509" i="1"/>
  <c r="B7508" i="1"/>
  <c r="B7507" i="1"/>
  <c r="B7506" i="1"/>
  <c r="B7505" i="1"/>
  <c r="B7504" i="1"/>
  <c r="B7503" i="1"/>
  <c r="B7502" i="1"/>
  <c r="B7501" i="1"/>
  <c r="B7500" i="1"/>
  <c r="B7499" i="1"/>
  <c r="B7498" i="1"/>
  <c r="B7497" i="1"/>
  <c r="B7496" i="1"/>
  <c r="B7495" i="1"/>
  <c r="B7494" i="1"/>
  <c r="B7493" i="1"/>
  <c r="B7492" i="1"/>
  <c r="B7491" i="1"/>
  <c r="B7490" i="1"/>
  <c r="B7489" i="1"/>
  <c r="B7488" i="1"/>
  <c r="B7487" i="1"/>
  <c r="B7486" i="1"/>
  <c r="B7485" i="1"/>
  <c r="B7484" i="1"/>
  <c r="B7483" i="1"/>
  <c r="B7482" i="1"/>
  <c r="B7481" i="1"/>
  <c r="B7480" i="1"/>
  <c r="B7479" i="1"/>
  <c r="B7478" i="1"/>
  <c r="B7477" i="1"/>
  <c r="B7476" i="1"/>
  <c r="B7475" i="1"/>
  <c r="B7474" i="1"/>
  <c r="B7473" i="1"/>
  <c r="B7472" i="1"/>
  <c r="B7471" i="1"/>
  <c r="B7470" i="1"/>
  <c r="B7469" i="1"/>
  <c r="B7468" i="1"/>
  <c r="B7467" i="1"/>
  <c r="B7466" i="1"/>
  <c r="B7465" i="1"/>
  <c r="B7464" i="1"/>
  <c r="B7463" i="1"/>
  <c r="B7462" i="1"/>
  <c r="B7461" i="1"/>
  <c r="B7460" i="1"/>
  <c r="B7459" i="1"/>
  <c r="B7458" i="1"/>
  <c r="B7457" i="1"/>
  <c r="B7456" i="1"/>
  <c r="B7455" i="1"/>
  <c r="B7454" i="1"/>
  <c r="B7453" i="1"/>
  <c r="B7452" i="1"/>
  <c r="B7451" i="1"/>
  <c r="B7450" i="1"/>
  <c r="B7449" i="1"/>
  <c r="B7448" i="1"/>
  <c r="B7447" i="1"/>
  <c r="B7446" i="1"/>
  <c r="B7445" i="1"/>
  <c r="B7444" i="1"/>
  <c r="B7443" i="1"/>
  <c r="B7442" i="1"/>
  <c r="B7441" i="1"/>
  <c r="B7440" i="1"/>
  <c r="B7439" i="1"/>
  <c r="B7438" i="1"/>
  <c r="B7437" i="1"/>
  <c r="B7436" i="1"/>
  <c r="B7435" i="1"/>
  <c r="B7434" i="1"/>
  <c r="B7433" i="1"/>
  <c r="B7432" i="1"/>
  <c r="B7431" i="1"/>
  <c r="B7430" i="1"/>
  <c r="B7429" i="1"/>
  <c r="B7428" i="1"/>
  <c r="B7427" i="1"/>
  <c r="B7426" i="1"/>
  <c r="B7425" i="1"/>
  <c r="B7424" i="1"/>
  <c r="B7423" i="1"/>
  <c r="B7422" i="1"/>
  <c r="B7421" i="1"/>
  <c r="B7420" i="1"/>
  <c r="B7419" i="1"/>
  <c r="B7418" i="1"/>
  <c r="B7417" i="1"/>
  <c r="B7416" i="1"/>
  <c r="B7415" i="1"/>
  <c r="B7414" i="1"/>
  <c r="B7413" i="1"/>
  <c r="B7412" i="1"/>
  <c r="B7411" i="1"/>
  <c r="B7410" i="1"/>
  <c r="B7409" i="1"/>
  <c r="B7408" i="1"/>
  <c r="B7407" i="1"/>
  <c r="B7406" i="1"/>
  <c r="B7405" i="1"/>
  <c r="B7404" i="1"/>
  <c r="B7403" i="1"/>
  <c r="B7402" i="1"/>
  <c r="B7401" i="1"/>
  <c r="B7400" i="1"/>
  <c r="B7399" i="1"/>
  <c r="B7398" i="1"/>
  <c r="B7397" i="1"/>
  <c r="B7396" i="1"/>
  <c r="B7395" i="1"/>
  <c r="B7394" i="1"/>
  <c r="B7393" i="1"/>
  <c r="B7392" i="1"/>
  <c r="B7391" i="1"/>
  <c r="B7390" i="1"/>
  <c r="B7389" i="1"/>
  <c r="B7388" i="1"/>
  <c r="B7387" i="1"/>
  <c r="B7386" i="1"/>
  <c r="B7385" i="1"/>
  <c r="B7384" i="1"/>
  <c r="B7383" i="1"/>
  <c r="B7382" i="1"/>
  <c r="B7381" i="1"/>
  <c r="B7380" i="1"/>
  <c r="B7379" i="1"/>
  <c r="B7378" i="1"/>
  <c r="B7377" i="1"/>
  <c r="B7376" i="1"/>
  <c r="B7375" i="1"/>
  <c r="B7374" i="1"/>
  <c r="B7373" i="1"/>
  <c r="B7372" i="1"/>
  <c r="B7371" i="1"/>
  <c r="B7370" i="1"/>
  <c r="B7369" i="1"/>
  <c r="B7368" i="1"/>
  <c r="B7367" i="1"/>
  <c r="B7366" i="1"/>
  <c r="B7365" i="1"/>
  <c r="B7364" i="1"/>
  <c r="B7363" i="1"/>
  <c r="B7362" i="1"/>
  <c r="B7361" i="1"/>
  <c r="B7360" i="1"/>
  <c r="B7359" i="1"/>
  <c r="B7358" i="1"/>
  <c r="B7357" i="1"/>
  <c r="B7356" i="1"/>
  <c r="B7355" i="1"/>
  <c r="B7354" i="1"/>
  <c r="B7353" i="1"/>
  <c r="B7352" i="1"/>
  <c r="B7351" i="1"/>
  <c r="B7350" i="1"/>
  <c r="B7349" i="1"/>
  <c r="B7348" i="1"/>
  <c r="B7347" i="1"/>
  <c r="B7346" i="1"/>
  <c r="B7345" i="1"/>
  <c r="B7344" i="1"/>
  <c r="B7343" i="1"/>
  <c r="B7342" i="1"/>
  <c r="B7341" i="1"/>
  <c r="B7340" i="1"/>
  <c r="B7339" i="1"/>
  <c r="B7338" i="1"/>
  <c r="B7337" i="1"/>
  <c r="B7336" i="1"/>
  <c r="B7335" i="1"/>
  <c r="B7334" i="1"/>
  <c r="B7333" i="1"/>
  <c r="B7332" i="1"/>
  <c r="B7331" i="1"/>
  <c r="B7330" i="1"/>
  <c r="B7329" i="1"/>
  <c r="B7328" i="1"/>
  <c r="B7327" i="1"/>
  <c r="B7326" i="1"/>
  <c r="B7325" i="1"/>
  <c r="B7324" i="1"/>
  <c r="B7323" i="1"/>
  <c r="B7322" i="1"/>
  <c r="B7321" i="1"/>
  <c r="B7320" i="1"/>
  <c r="B7319" i="1"/>
  <c r="B7318" i="1"/>
  <c r="B7317" i="1"/>
  <c r="B7316" i="1"/>
  <c r="B7315" i="1"/>
  <c r="B7314" i="1"/>
  <c r="B7313" i="1"/>
  <c r="B7312" i="1"/>
  <c r="B7311" i="1"/>
  <c r="B7310" i="1"/>
  <c r="B7309" i="1"/>
  <c r="B7308" i="1"/>
  <c r="B7307" i="1"/>
  <c r="B7306" i="1"/>
  <c r="B7305" i="1"/>
  <c r="B7304" i="1"/>
  <c r="B7303" i="1"/>
  <c r="B7302" i="1"/>
  <c r="B7301" i="1"/>
  <c r="B7300" i="1"/>
  <c r="B7299" i="1"/>
  <c r="B7298" i="1"/>
  <c r="B7297" i="1"/>
  <c r="B7296" i="1"/>
  <c r="B7295" i="1"/>
  <c r="B7294" i="1"/>
  <c r="B7293" i="1"/>
  <c r="B7292" i="1"/>
  <c r="B7291" i="1"/>
  <c r="B7290" i="1"/>
  <c r="B7289" i="1"/>
  <c r="B7288" i="1"/>
  <c r="B7287" i="1"/>
  <c r="B7286" i="1"/>
  <c r="B7285" i="1"/>
  <c r="B7284" i="1"/>
  <c r="B7283" i="1"/>
  <c r="B7282" i="1"/>
  <c r="B7281" i="1"/>
  <c r="B7280" i="1"/>
  <c r="B7279" i="1"/>
  <c r="B7278" i="1"/>
  <c r="B7277" i="1"/>
  <c r="B7276" i="1"/>
  <c r="B7275" i="1"/>
  <c r="B7274" i="1"/>
  <c r="B7273" i="1"/>
  <c r="B7272" i="1"/>
  <c r="B7271" i="1"/>
  <c r="B7270" i="1"/>
  <c r="B7269" i="1"/>
  <c r="B7268" i="1"/>
  <c r="B7267" i="1"/>
  <c r="B7266" i="1"/>
  <c r="B7265" i="1"/>
  <c r="B7264" i="1"/>
  <c r="B7263" i="1"/>
  <c r="B7262" i="1"/>
  <c r="B7261" i="1"/>
  <c r="B7260" i="1"/>
  <c r="B7259" i="1"/>
  <c r="B7258" i="1"/>
  <c r="B7257" i="1"/>
  <c r="B7256" i="1"/>
  <c r="B7255" i="1"/>
  <c r="B7254" i="1"/>
  <c r="B7253" i="1"/>
  <c r="B7252" i="1"/>
  <c r="B7251" i="1"/>
  <c r="B7250" i="1"/>
  <c r="B7249" i="1"/>
  <c r="B7248" i="1"/>
  <c r="B7247" i="1"/>
  <c r="B7246" i="1"/>
  <c r="B7245" i="1"/>
  <c r="B7244" i="1"/>
  <c r="B7243" i="1"/>
  <c r="B7242" i="1"/>
  <c r="B7241" i="1"/>
  <c r="B7240" i="1"/>
  <c r="B7239" i="1"/>
  <c r="B7238" i="1"/>
  <c r="B7237" i="1"/>
  <c r="B7236" i="1"/>
  <c r="B7235" i="1"/>
  <c r="B7234" i="1"/>
  <c r="B7233" i="1"/>
  <c r="B7232" i="1"/>
  <c r="B7231" i="1"/>
  <c r="B7230" i="1"/>
  <c r="B7229" i="1"/>
  <c r="B7228" i="1"/>
  <c r="B7227" i="1"/>
  <c r="B7226" i="1"/>
  <c r="B7225" i="1"/>
  <c r="B7224" i="1"/>
  <c r="B7223" i="1"/>
  <c r="B7222" i="1"/>
  <c r="B7221" i="1"/>
  <c r="B7220" i="1"/>
  <c r="B7219" i="1"/>
  <c r="B7218" i="1"/>
  <c r="B7217" i="1"/>
  <c r="B7216" i="1"/>
  <c r="B7215" i="1"/>
  <c r="B7214" i="1"/>
  <c r="B7213" i="1"/>
  <c r="B7212" i="1"/>
  <c r="B7211" i="1"/>
  <c r="B7210" i="1"/>
  <c r="B7209" i="1"/>
  <c r="B7208" i="1"/>
  <c r="B7207" i="1"/>
  <c r="B7206" i="1"/>
  <c r="B7205" i="1"/>
  <c r="B7204" i="1"/>
  <c r="B7203" i="1"/>
  <c r="B7202" i="1"/>
  <c r="B7201" i="1"/>
  <c r="B7200" i="1"/>
  <c r="B7199" i="1"/>
  <c r="B7198" i="1"/>
  <c r="B7197" i="1"/>
  <c r="B7196" i="1"/>
  <c r="B7195" i="1"/>
  <c r="B7194" i="1"/>
  <c r="B7193" i="1"/>
  <c r="B7192" i="1"/>
  <c r="B7191" i="1"/>
  <c r="B7190" i="1"/>
  <c r="B7189" i="1"/>
  <c r="B7188" i="1"/>
  <c r="B7187" i="1"/>
  <c r="B7186" i="1"/>
  <c r="B7185" i="1"/>
  <c r="B7184" i="1"/>
  <c r="B7183" i="1"/>
  <c r="B7182" i="1"/>
  <c r="B7181" i="1"/>
  <c r="B7180" i="1"/>
  <c r="B7179" i="1"/>
  <c r="B7178" i="1"/>
  <c r="B7177" i="1"/>
  <c r="B7176" i="1"/>
  <c r="B7175" i="1"/>
  <c r="B7174" i="1"/>
  <c r="B7173" i="1"/>
  <c r="B7172" i="1"/>
  <c r="B7171" i="1"/>
  <c r="B7170" i="1"/>
  <c r="B7169" i="1"/>
  <c r="B7168" i="1"/>
  <c r="B7167" i="1"/>
  <c r="B7166" i="1"/>
  <c r="B7165" i="1"/>
  <c r="B7164" i="1"/>
  <c r="B7163" i="1"/>
  <c r="B7162" i="1"/>
  <c r="B7161" i="1"/>
  <c r="B7160" i="1"/>
  <c r="B7159" i="1"/>
  <c r="B7158" i="1"/>
  <c r="B7157" i="1"/>
  <c r="B7156" i="1"/>
  <c r="B7155" i="1"/>
  <c r="B7154" i="1"/>
  <c r="B7153" i="1"/>
  <c r="B7152" i="1"/>
  <c r="B7151" i="1"/>
  <c r="B7150" i="1"/>
  <c r="B7149" i="1"/>
  <c r="B7148" i="1"/>
  <c r="B7147" i="1"/>
  <c r="B7146" i="1"/>
  <c r="B7145" i="1"/>
  <c r="B7144" i="1"/>
  <c r="B7143" i="1"/>
  <c r="B7142" i="1"/>
  <c r="B7141" i="1"/>
  <c r="B7140" i="1"/>
  <c r="B7139" i="1"/>
  <c r="B7138" i="1"/>
  <c r="B7137" i="1"/>
  <c r="B7136" i="1"/>
  <c r="B7135" i="1"/>
  <c r="B7134" i="1"/>
  <c r="B7133" i="1"/>
  <c r="B7132" i="1"/>
  <c r="B7131" i="1"/>
  <c r="B7130" i="1"/>
  <c r="B7129" i="1"/>
  <c r="B7128" i="1"/>
  <c r="B7127" i="1"/>
  <c r="B7126" i="1"/>
  <c r="B7125" i="1"/>
  <c r="B7124" i="1"/>
  <c r="B7123" i="1"/>
  <c r="B7122" i="1"/>
  <c r="B7121" i="1"/>
  <c r="B7120" i="1"/>
  <c r="B7119" i="1"/>
  <c r="B7118" i="1"/>
  <c r="B7117" i="1"/>
  <c r="B7116" i="1"/>
  <c r="B7115" i="1"/>
  <c r="B7114" i="1"/>
  <c r="B7113" i="1"/>
  <c r="B7112" i="1"/>
  <c r="B7111" i="1"/>
  <c r="B7110" i="1"/>
  <c r="B7109" i="1"/>
  <c r="B7108" i="1"/>
  <c r="B7107" i="1"/>
  <c r="B7106" i="1"/>
  <c r="B7105" i="1"/>
  <c r="B7104" i="1"/>
  <c r="B7103" i="1"/>
  <c r="B7102" i="1"/>
  <c r="B7101" i="1"/>
  <c r="B7100" i="1"/>
  <c r="B7099" i="1"/>
  <c r="B7098" i="1"/>
  <c r="B7097" i="1"/>
  <c r="B7096" i="1"/>
  <c r="B7095" i="1"/>
  <c r="B7094" i="1"/>
  <c r="B7093" i="1"/>
  <c r="B7092" i="1"/>
  <c r="B7091" i="1"/>
  <c r="B7090" i="1"/>
  <c r="B7089" i="1"/>
  <c r="B7088" i="1"/>
  <c r="B7087" i="1"/>
  <c r="B7086" i="1"/>
  <c r="B7085" i="1"/>
  <c r="B7084" i="1"/>
  <c r="B7083" i="1"/>
  <c r="B7082" i="1"/>
  <c r="B7081" i="1"/>
  <c r="B7080" i="1"/>
  <c r="B7079" i="1"/>
  <c r="B7078" i="1"/>
  <c r="B7077" i="1"/>
  <c r="B7076" i="1"/>
  <c r="B7075" i="1"/>
  <c r="B7074" i="1"/>
  <c r="B7073" i="1"/>
  <c r="B7072" i="1"/>
  <c r="B7071" i="1"/>
  <c r="B7070" i="1"/>
  <c r="B7069" i="1"/>
  <c r="B7068" i="1"/>
  <c r="B7067" i="1"/>
  <c r="B7066" i="1"/>
  <c r="B7065" i="1"/>
  <c r="B7064" i="1"/>
  <c r="B7063" i="1"/>
  <c r="B7062" i="1"/>
  <c r="B7061" i="1"/>
  <c r="B7060" i="1"/>
  <c r="B7059" i="1"/>
  <c r="B7058" i="1"/>
  <c r="B7057" i="1"/>
  <c r="B7056" i="1"/>
  <c r="B7055" i="1"/>
  <c r="B7054" i="1"/>
  <c r="B7053" i="1"/>
  <c r="B7052" i="1"/>
  <c r="B7051" i="1"/>
  <c r="B7050" i="1"/>
  <c r="B7049" i="1"/>
  <c r="B7048" i="1"/>
  <c r="B7047" i="1"/>
  <c r="B7046" i="1"/>
  <c r="B7045" i="1"/>
  <c r="B7044" i="1"/>
  <c r="B7043" i="1"/>
  <c r="B7042" i="1"/>
  <c r="B7041" i="1"/>
  <c r="B7040" i="1"/>
  <c r="B7039" i="1"/>
  <c r="B7038" i="1"/>
  <c r="B7037" i="1"/>
  <c r="B7036" i="1"/>
  <c r="B7035" i="1"/>
  <c r="B7034" i="1"/>
  <c r="B7033" i="1"/>
  <c r="B7032" i="1"/>
  <c r="B7031" i="1"/>
  <c r="B7030" i="1"/>
  <c r="B7029" i="1"/>
  <c r="B7028" i="1"/>
  <c r="B7027" i="1"/>
  <c r="B7026" i="1"/>
  <c r="B7025" i="1"/>
  <c r="B7024" i="1"/>
  <c r="B7023" i="1"/>
  <c r="B7022" i="1"/>
  <c r="B7021" i="1"/>
  <c r="B7020" i="1"/>
  <c r="B7019" i="1"/>
  <c r="B7018" i="1"/>
  <c r="B7017" i="1"/>
  <c r="B7016" i="1"/>
  <c r="B7015" i="1"/>
  <c r="B7014" i="1"/>
  <c r="B7013" i="1"/>
  <c r="B7012" i="1"/>
  <c r="B7011" i="1"/>
  <c r="B7010" i="1"/>
  <c r="B7009" i="1"/>
  <c r="B7008" i="1"/>
  <c r="B7007" i="1"/>
  <c r="B7006" i="1"/>
  <c r="B7005" i="1"/>
  <c r="B7004" i="1"/>
  <c r="B7003" i="1"/>
  <c r="B7002" i="1"/>
  <c r="B7001" i="1"/>
  <c r="B7000" i="1"/>
  <c r="B6999" i="1"/>
  <c r="B6998" i="1"/>
  <c r="B6997" i="1"/>
  <c r="B6996" i="1"/>
  <c r="B6995" i="1"/>
  <c r="B6994" i="1"/>
  <c r="B6993" i="1"/>
  <c r="B6992" i="1"/>
  <c r="B6991" i="1"/>
  <c r="B6990" i="1"/>
  <c r="B6989" i="1"/>
  <c r="B6988" i="1"/>
  <c r="B6987" i="1"/>
  <c r="B6986" i="1"/>
  <c r="B6985" i="1"/>
  <c r="B6984" i="1"/>
  <c r="B6983" i="1"/>
  <c r="B6982" i="1"/>
  <c r="B6981" i="1"/>
  <c r="B6980" i="1"/>
  <c r="B6979" i="1"/>
  <c r="B6978" i="1"/>
  <c r="B6977" i="1"/>
  <c r="B6976" i="1"/>
  <c r="B6975" i="1"/>
  <c r="B6974" i="1"/>
  <c r="B6973" i="1"/>
  <c r="B6972" i="1"/>
  <c r="B6971" i="1"/>
  <c r="B6970" i="1"/>
  <c r="B6969" i="1"/>
  <c r="B6968" i="1"/>
  <c r="B6967" i="1"/>
  <c r="B6966" i="1"/>
  <c r="B6965" i="1"/>
  <c r="B6964" i="1"/>
  <c r="B6963" i="1"/>
  <c r="B6962" i="1"/>
  <c r="B6961" i="1"/>
  <c r="B6960" i="1"/>
  <c r="B6959" i="1"/>
  <c r="B6958" i="1"/>
  <c r="B6957" i="1"/>
  <c r="B6956" i="1"/>
  <c r="B6955" i="1"/>
  <c r="B6954" i="1"/>
  <c r="B6953" i="1"/>
  <c r="B6952" i="1"/>
  <c r="B6951" i="1"/>
  <c r="B6950" i="1"/>
  <c r="B6949" i="1"/>
  <c r="B6948" i="1"/>
  <c r="B6947" i="1"/>
  <c r="B6946" i="1"/>
  <c r="B6945" i="1"/>
  <c r="B6944" i="1"/>
  <c r="B6943" i="1"/>
  <c r="B6942" i="1"/>
  <c r="B6941" i="1"/>
  <c r="B6940" i="1"/>
  <c r="B6939" i="1"/>
  <c r="B6938" i="1"/>
  <c r="B6937" i="1"/>
  <c r="B6936" i="1"/>
  <c r="B6935" i="1"/>
  <c r="B6934" i="1"/>
  <c r="B6933" i="1"/>
  <c r="B6932" i="1"/>
  <c r="B6931" i="1"/>
  <c r="B6930" i="1"/>
  <c r="B6929" i="1"/>
  <c r="B6928" i="1"/>
  <c r="B6927" i="1"/>
  <c r="B6926" i="1"/>
  <c r="B6925" i="1"/>
  <c r="B6924" i="1"/>
  <c r="B6923" i="1"/>
  <c r="B6922" i="1"/>
  <c r="B6921" i="1"/>
  <c r="B6920" i="1"/>
  <c r="B6919" i="1"/>
  <c r="B6918" i="1"/>
  <c r="B6917" i="1"/>
  <c r="B6916" i="1"/>
  <c r="B6915" i="1"/>
  <c r="B6914" i="1"/>
  <c r="B6913" i="1"/>
  <c r="B6912" i="1"/>
  <c r="B6911" i="1"/>
  <c r="B6910" i="1"/>
  <c r="B6909" i="1"/>
  <c r="B6908" i="1"/>
  <c r="B6907" i="1"/>
  <c r="B6906" i="1"/>
  <c r="B6905" i="1"/>
  <c r="B6904" i="1"/>
  <c r="B6903" i="1"/>
  <c r="B6902" i="1"/>
  <c r="B6901" i="1"/>
  <c r="B6900" i="1"/>
  <c r="B6899" i="1"/>
  <c r="B6898" i="1"/>
  <c r="B6897" i="1"/>
  <c r="B6896" i="1"/>
  <c r="B6895" i="1"/>
  <c r="B6894" i="1"/>
  <c r="B6893" i="1"/>
  <c r="B6892" i="1"/>
  <c r="B6891" i="1"/>
  <c r="B6890" i="1"/>
  <c r="B6889" i="1"/>
  <c r="B6888" i="1"/>
  <c r="B6887" i="1"/>
  <c r="B6886" i="1"/>
  <c r="B6885" i="1"/>
  <c r="B6884" i="1"/>
  <c r="B6883" i="1"/>
  <c r="B6882" i="1"/>
  <c r="B6881" i="1"/>
  <c r="B6880" i="1"/>
  <c r="B6879" i="1"/>
  <c r="B6878" i="1"/>
  <c r="B6877" i="1"/>
  <c r="B6876" i="1"/>
  <c r="B6875" i="1"/>
  <c r="B6874" i="1"/>
  <c r="B6873" i="1"/>
  <c r="B6872" i="1"/>
  <c r="B6871" i="1"/>
  <c r="B6870" i="1"/>
  <c r="B6869" i="1"/>
  <c r="B6868" i="1"/>
  <c r="B6867" i="1"/>
  <c r="B6866" i="1"/>
  <c r="B6865" i="1"/>
  <c r="B6864" i="1"/>
  <c r="B6863" i="1"/>
  <c r="B6862" i="1"/>
  <c r="B6861" i="1"/>
  <c r="B6860" i="1"/>
  <c r="B6859" i="1"/>
  <c r="B6858" i="1"/>
  <c r="B6857" i="1"/>
  <c r="B6856" i="1"/>
  <c r="B6855" i="1"/>
  <c r="B6854" i="1"/>
  <c r="B6853" i="1"/>
  <c r="B6852" i="1"/>
  <c r="B6851" i="1"/>
  <c r="B6850" i="1"/>
  <c r="B6849" i="1"/>
  <c r="B6848" i="1"/>
  <c r="B6847" i="1"/>
  <c r="B6846" i="1"/>
  <c r="B6845" i="1"/>
  <c r="B6844" i="1"/>
  <c r="B6843" i="1"/>
  <c r="B6842" i="1"/>
  <c r="B6841" i="1"/>
  <c r="B6840" i="1"/>
  <c r="B6839" i="1"/>
  <c r="B6838" i="1"/>
  <c r="B6837" i="1"/>
  <c r="B6836" i="1"/>
  <c r="B6835" i="1"/>
  <c r="B6834" i="1"/>
  <c r="B6833" i="1"/>
  <c r="B6832" i="1"/>
  <c r="B6831" i="1"/>
  <c r="B6830" i="1"/>
  <c r="B6829" i="1"/>
  <c r="B6828" i="1"/>
  <c r="B6827" i="1"/>
  <c r="B6826" i="1"/>
  <c r="B6825" i="1"/>
  <c r="B6824" i="1"/>
  <c r="B6823" i="1"/>
  <c r="B6822" i="1"/>
  <c r="B6821" i="1"/>
  <c r="B6820" i="1"/>
  <c r="B6819" i="1"/>
  <c r="B6818" i="1"/>
  <c r="B6817" i="1"/>
  <c r="B6816" i="1"/>
  <c r="B6815" i="1"/>
  <c r="B6814" i="1"/>
  <c r="B6813" i="1"/>
  <c r="B6812" i="1"/>
  <c r="B6811" i="1"/>
  <c r="B6810" i="1"/>
  <c r="B6809" i="1"/>
  <c r="B6808" i="1"/>
  <c r="B6807" i="1"/>
  <c r="B6806" i="1"/>
  <c r="B6805" i="1"/>
  <c r="B6804" i="1"/>
  <c r="B6803" i="1"/>
  <c r="B6802" i="1"/>
  <c r="B6801" i="1"/>
  <c r="B6800" i="1"/>
  <c r="B6799" i="1"/>
  <c r="B6798" i="1"/>
  <c r="B6797" i="1"/>
  <c r="B6796" i="1"/>
  <c r="B6795" i="1"/>
  <c r="B6794" i="1"/>
  <c r="B6793" i="1"/>
  <c r="B6792" i="1"/>
  <c r="B6791" i="1"/>
  <c r="B6790" i="1"/>
  <c r="B6789" i="1"/>
  <c r="B6788" i="1"/>
  <c r="B6787" i="1"/>
  <c r="B6786" i="1"/>
  <c r="B6785" i="1"/>
  <c r="B6784" i="1"/>
  <c r="B6783" i="1"/>
  <c r="B6782" i="1"/>
  <c r="B6781" i="1"/>
  <c r="B6780" i="1"/>
  <c r="B6779" i="1"/>
  <c r="B6778" i="1"/>
  <c r="B6777" i="1"/>
  <c r="B6776" i="1"/>
  <c r="B6775" i="1"/>
  <c r="B6774" i="1"/>
  <c r="B6773" i="1"/>
  <c r="B6772" i="1"/>
  <c r="B6771" i="1"/>
  <c r="B6770" i="1"/>
  <c r="B6769" i="1"/>
  <c r="B6768" i="1"/>
  <c r="B6767" i="1"/>
  <c r="B6766" i="1"/>
  <c r="B6765" i="1"/>
  <c r="B6764" i="1"/>
  <c r="B6763" i="1"/>
  <c r="B6762" i="1"/>
  <c r="B6761" i="1"/>
  <c r="B6760" i="1"/>
  <c r="B6759" i="1"/>
  <c r="B6758" i="1"/>
  <c r="B6757" i="1"/>
  <c r="B6756" i="1"/>
  <c r="B6755" i="1"/>
  <c r="B6754" i="1"/>
  <c r="B6753" i="1"/>
  <c r="B6752" i="1"/>
  <c r="B6751" i="1"/>
  <c r="B6750" i="1"/>
  <c r="B6749" i="1"/>
  <c r="B6748" i="1"/>
  <c r="B6747" i="1"/>
  <c r="B6746" i="1"/>
  <c r="B6745" i="1"/>
  <c r="B6744" i="1"/>
  <c r="B6743" i="1"/>
  <c r="B6742" i="1"/>
  <c r="B6741" i="1"/>
  <c r="B6740" i="1"/>
  <c r="B6739" i="1"/>
  <c r="B6738" i="1"/>
  <c r="B6737" i="1"/>
  <c r="B6736" i="1"/>
  <c r="B6735" i="1"/>
  <c r="B6734" i="1"/>
  <c r="B6733" i="1"/>
  <c r="B6732" i="1"/>
  <c r="B6731" i="1"/>
  <c r="B6730" i="1"/>
  <c r="B6729" i="1"/>
  <c r="B6728" i="1"/>
  <c r="B6727" i="1"/>
  <c r="B6726" i="1"/>
  <c r="B6725" i="1"/>
  <c r="B6724" i="1"/>
  <c r="B6723" i="1"/>
  <c r="B6722" i="1"/>
  <c r="B6721" i="1"/>
  <c r="B6720" i="1"/>
  <c r="B6719" i="1"/>
  <c r="B6718" i="1"/>
  <c r="B6717" i="1"/>
  <c r="B6716" i="1"/>
  <c r="B6715" i="1"/>
  <c r="B6714" i="1"/>
  <c r="B6713" i="1"/>
  <c r="B6712" i="1"/>
  <c r="B6711" i="1"/>
  <c r="B6710" i="1"/>
  <c r="B6709" i="1"/>
  <c r="B6708" i="1"/>
  <c r="B6707" i="1"/>
  <c r="B6706" i="1"/>
  <c r="B6705" i="1"/>
  <c r="B6704" i="1"/>
  <c r="B6703" i="1"/>
  <c r="B6702" i="1"/>
  <c r="B6701" i="1"/>
  <c r="B6700" i="1"/>
  <c r="B6699" i="1"/>
  <c r="B6698" i="1"/>
  <c r="B6697" i="1"/>
  <c r="B6696" i="1"/>
  <c r="B6695" i="1"/>
  <c r="B6694" i="1"/>
  <c r="B6693" i="1"/>
  <c r="B6692" i="1"/>
  <c r="B6691" i="1"/>
  <c r="B6690" i="1"/>
  <c r="B6689" i="1"/>
  <c r="B6688" i="1"/>
  <c r="B6687" i="1"/>
  <c r="B6686" i="1"/>
  <c r="B6685" i="1"/>
  <c r="B6684" i="1"/>
  <c r="B6683" i="1"/>
  <c r="B6682" i="1"/>
  <c r="B6681" i="1"/>
  <c r="B6680" i="1"/>
  <c r="B6679" i="1"/>
  <c r="B6678" i="1"/>
  <c r="B6677" i="1"/>
  <c r="B6676" i="1"/>
  <c r="B6675" i="1"/>
  <c r="B6674" i="1"/>
  <c r="B6673" i="1"/>
  <c r="B6672" i="1"/>
  <c r="B6671" i="1"/>
  <c r="B6670" i="1"/>
  <c r="B6669" i="1"/>
  <c r="B6668" i="1"/>
  <c r="B6667" i="1"/>
  <c r="B6666" i="1"/>
  <c r="B6665" i="1"/>
  <c r="B6664" i="1"/>
  <c r="B6663" i="1"/>
  <c r="B6662" i="1"/>
  <c r="B6661" i="1"/>
  <c r="B6660" i="1"/>
  <c r="B6659" i="1"/>
  <c r="B6658" i="1"/>
  <c r="B6657" i="1"/>
  <c r="B6656" i="1"/>
  <c r="B6655" i="1"/>
  <c r="B6654" i="1"/>
  <c r="B6653" i="1"/>
  <c r="B6652" i="1"/>
  <c r="B6651" i="1"/>
  <c r="B6650" i="1"/>
  <c r="B6649" i="1"/>
  <c r="B6648" i="1"/>
  <c r="B6647" i="1"/>
  <c r="B6646" i="1"/>
  <c r="B6645" i="1"/>
  <c r="B6644" i="1"/>
  <c r="B6643" i="1"/>
  <c r="B6642" i="1"/>
  <c r="B6641" i="1"/>
  <c r="B6640" i="1"/>
  <c r="B6639" i="1"/>
  <c r="B6638" i="1"/>
  <c r="B6637" i="1"/>
  <c r="B6636" i="1"/>
  <c r="B6635" i="1"/>
  <c r="B6634" i="1"/>
  <c r="B6633" i="1"/>
  <c r="B6632" i="1"/>
  <c r="B6631" i="1"/>
  <c r="B6630" i="1"/>
  <c r="B6629" i="1"/>
  <c r="B6628" i="1"/>
  <c r="B6627" i="1"/>
  <c r="B6626" i="1"/>
  <c r="B6625" i="1"/>
  <c r="B6624" i="1"/>
  <c r="B6623" i="1"/>
  <c r="B6622" i="1"/>
  <c r="B6621" i="1"/>
  <c r="B6620" i="1"/>
  <c r="B6619" i="1"/>
  <c r="B6618" i="1"/>
  <c r="B6617" i="1"/>
  <c r="B6616" i="1"/>
  <c r="B6615" i="1"/>
  <c r="B6614" i="1"/>
  <c r="B6613" i="1"/>
  <c r="B6612" i="1"/>
  <c r="B6611" i="1"/>
  <c r="B6610" i="1"/>
  <c r="B6609" i="1"/>
  <c r="B6608" i="1"/>
  <c r="B6607" i="1"/>
  <c r="B6606" i="1"/>
  <c r="B6605" i="1"/>
  <c r="B6604" i="1"/>
  <c r="B6603" i="1"/>
  <c r="B6602" i="1"/>
  <c r="B6601" i="1"/>
  <c r="B6600" i="1"/>
  <c r="B6599" i="1"/>
  <c r="B6598" i="1"/>
  <c r="B6597" i="1"/>
  <c r="B6596" i="1"/>
  <c r="B6595" i="1"/>
  <c r="B6594" i="1"/>
  <c r="B6593" i="1"/>
  <c r="B6592" i="1"/>
  <c r="B6591" i="1"/>
  <c r="B6590" i="1"/>
  <c r="B6589" i="1"/>
  <c r="B6588" i="1"/>
  <c r="B6587" i="1"/>
  <c r="B6586" i="1"/>
  <c r="B6585" i="1"/>
  <c r="B6584" i="1"/>
  <c r="B6583" i="1"/>
  <c r="B6582" i="1"/>
  <c r="B6581" i="1"/>
  <c r="B6580" i="1"/>
  <c r="B6579" i="1"/>
  <c r="B6578" i="1"/>
  <c r="B6577" i="1"/>
  <c r="B6576" i="1"/>
  <c r="B6575" i="1"/>
  <c r="B6574" i="1"/>
  <c r="B6573" i="1"/>
  <c r="B6572" i="1"/>
  <c r="B6571" i="1"/>
  <c r="B6570" i="1"/>
  <c r="B6569" i="1"/>
  <c r="B6568" i="1"/>
  <c r="B6567" i="1"/>
  <c r="B6566" i="1"/>
  <c r="B6565" i="1"/>
  <c r="B6564" i="1"/>
  <c r="B6563" i="1"/>
  <c r="B6562" i="1"/>
  <c r="B6561" i="1"/>
  <c r="B6560" i="1"/>
  <c r="B6559" i="1"/>
  <c r="B6558" i="1"/>
  <c r="B6557" i="1"/>
  <c r="B6556" i="1"/>
  <c r="B6555" i="1"/>
  <c r="B6554" i="1"/>
  <c r="B6553" i="1"/>
  <c r="B6552" i="1"/>
  <c r="B6551" i="1"/>
  <c r="B6550" i="1"/>
  <c r="B6549" i="1"/>
  <c r="B6548" i="1"/>
  <c r="B6547" i="1"/>
  <c r="B6546" i="1"/>
  <c r="B6545" i="1"/>
  <c r="B6544" i="1"/>
  <c r="B6543" i="1"/>
  <c r="B6542" i="1"/>
  <c r="B6541" i="1"/>
  <c r="B6540" i="1"/>
  <c r="B6539" i="1"/>
  <c r="B6538" i="1"/>
  <c r="B6537" i="1"/>
  <c r="B6536" i="1"/>
  <c r="B6535" i="1"/>
  <c r="B6534" i="1"/>
  <c r="B6533" i="1"/>
  <c r="B6532" i="1"/>
  <c r="B6531" i="1"/>
  <c r="B6530" i="1"/>
  <c r="B6529" i="1"/>
  <c r="B6528" i="1"/>
  <c r="B6527" i="1"/>
  <c r="B6526" i="1"/>
  <c r="B6525" i="1"/>
  <c r="B6524" i="1"/>
  <c r="B6523" i="1"/>
  <c r="B6522" i="1"/>
  <c r="B6521" i="1"/>
  <c r="B6520" i="1"/>
  <c r="B6519" i="1"/>
  <c r="B6518" i="1"/>
  <c r="B6517" i="1"/>
  <c r="B6516" i="1"/>
  <c r="B6515" i="1"/>
  <c r="B6514" i="1"/>
  <c r="B6513" i="1"/>
  <c r="B6512" i="1"/>
  <c r="B6511" i="1"/>
  <c r="B6510" i="1"/>
  <c r="B6509" i="1"/>
  <c r="B6508" i="1"/>
  <c r="B6507" i="1"/>
  <c r="B6506" i="1"/>
  <c r="B6505" i="1"/>
  <c r="B6504" i="1"/>
  <c r="B6503" i="1"/>
  <c r="B6502" i="1"/>
  <c r="B6501" i="1"/>
  <c r="B6500" i="1"/>
  <c r="B6499" i="1"/>
  <c r="B6498" i="1"/>
  <c r="B6497" i="1"/>
  <c r="B6496" i="1"/>
  <c r="B6495" i="1"/>
  <c r="B6494" i="1"/>
  <c r="B6493" i="1"/>
  <c r="B6492" i="1"/>
  <c r="B6491" i="1"/>
  <c r="B6490" i="1"/>
  <c r="B6489" i="1"/>
  <c r="B6488" i="1"/>
  <c r="B6487" i="1"/>
  <c r="B6486" i="1"/>
  <c r="B6485" i="1"/>
  <c r="B6484" i="1"/>
  <c r="B6483" i="1"/>
  <c r="B6482" i="1"/>
  <c r="B6481" i="1"/>
  <c r="B6480" i="1"/>
  <c r="B6479" i="1"/>
  <c r="B6478" i="1"/>
  <c r="B6477" i="1"/>
  <c r="B6476" i="1"/>
  <c r="B6475" i="1"/>
  <c r="B6474" i="1"/>
  <c r="B6473" i="1"/>
  <c r="B6472" i="1"/>
  <c r="B6471" i="1"/>
  <c r="B6470" i="1"/>
  <c r="B6469" i="1"/>
  <c r="B6468" i="1"/>
  <c r="B6467" i="1"/>
  <c r="B6466" i="1"/>
  <c r="B6465" i="1"/>
  <c r="B6464" i="1"/>
  <c r="B6463" i="1"/>
  <c r="B6462" i="1"/>
  <c r="B6461" i="1"/>
  <c r="B6460" i="1"/>
  <c r="B6459" i="1"/>
  <c r="B6458" i="1"/>
  <c r="B6457" i="1"/>
  <c r="B6456" i="1"/>
  <c r="B6455" i="1"/>
  <c r="B6454" i="1"/>
  <c r="B6453" i="1"/>
  <c r="B6452" i="1"/>
  <c r="B6451" i="1"/>
  <c r="B6450" i="1"/>
  <c r="B6449" i="1"/>
  <c r="B6448" i="1"/>
  <c r="B6447" i="1"/>
  <c r="B6446" i="1"/>
  <c r="B6445" i="1"/>
  <c r="B6444" i="1"/>
  <c r="B6443" i="1"/>
  <c r="B6442" i="1"/>
  <c r="B6441" i="1"/>
  <c r="B6440" i="1"/>
  <c r="B6439" i="1"/>
  <c r="B6438" i="1"/>
  <c r="B6437" i="1"/>
  <c r="B6436" i="1"/>
  <c r="B6435" i="1"/>
  <c r="B6434" i="1"/>
  <c r="B6433" i="1"/>
  <c r="B6432" i="1"/>
  <c r="B6431" i="1"/>
  <c r="B6430" i="1"/>
  <c r="B6429" i="1"/>
  <c r="B6428" i="1"/>
  <c r="B6427" i="1"/>
  <c r="B6426" i="1"/>
  <c r="B6425" i="1"/>
  <c r="B6424" i="1"/>
  <c r="B6423" i="1"/>
  <c r="B6422" i="1"/>
  <c r="B6421" i="1"/>
  <c r="B6420" i="1"/>
  <c r="B6419" i="1"/>
  <c r="B6418" i="1"/>
  <c r="B6417" i="1"/>
  <c r="B6416" i="1"/>
  <c r="B6415" i="1"/>
  <c r="B6414" i="1"/>
  <c r="B6413" i="1"/>
  <c r="B6412" i="1"/>
  <c r="B6411" i="1"/>
  <c r="B6410" i="1"/>
  <c r="B6409" i="1"/>
  <c r="B6408" i="1"/>
  <c r="B6407" i="1"/>
  <c r="B6406" i="1"/>
  <c r="B6405" i="1"/>
  <c r="B6404" i="1"/>
  <c r="B6403" i="1"/>
  <c r="B6402" i="1"/>
  <c r="B6401" i="1"/>
  <c r="B6400" i="1"/>
  <c r="B6399" i="1"/>
  <c r="B6398" i="1"/>
  <c r="B6397" i="1"/>
  <c r="B6396" i="1"/>
  <c r="B6395" i="1"/>
  <c r="B6394" i="1"/>
  <c r="B6393" i="1"/>
  <c r="B6392" i="1"/>
  <c r="B6391" i="1"/>
  <c r="B6390" i="1"/>
  <c r="B6389" i="1"/>
  <c r="B6388" i="1"/>
  <c r="B6387" i="1"/>
  <c r="B6386" i="1"/>
  <c r="B6385" i="1"/>
  <c r="B6384" i="1"/>
  <c r="B6383" i="1"/>
  <c r="B6382" i="1"/>
  <c r="B6381" i="1"/>
  <c r="B6380" i="1"/>
  <c r="B6379" i="1"/>
  <c r="B6378" i="1"/>
  <c r="B6377" i="1"/>
  <c r="B6376" i="1"/>
  <c r="B6375" i="1"/>
  <c r="B6374" i="1"/>
  <c r="B6373" i="1"/>
  <c r="B6372" i="1"/>
  <c r="B6371" i="1"/>
  <c r="B6370" i="1"/>
  <c r="B6369" i="1"/>
  <c r="B6368" i="1"/>
  <c r="B6367" i="1"/>
  <c r="B6366" i="1"/>
  <c r="B6365" i="1"/>
  <c r="B6364" i="1"/>
  <c r="B6363" i="1"/>
  <c r="B6362" i="1"/>
  <c r="B6361" i="1"/>
  <c r="B6360" i="1"/>
  <c r="B6359" i="1"/>
  <c r="B6358" i="1"/>
  <c r="B6357" i="1"/>
  <c r="B6356" i="1"/>
  <c r="B6355" i="1"/>
  <c r="B6354" i="1"/>
  <c r="B6353" i="1"/>
  <c r="B6352" i="1"/>
  <c r="B6351" i="1"/>
  <c r="B6350" i="1"/>
  <c r="B6349" i="1"/>
  <c r="B6348" i="1"/>
  <c r="B6347" i="1"/>
  <c r="B6346" i="1"/>
  <c r="B6345" i="1"/>
  <c r="B6344" i="1"/>
  <c r="B6343" i="1"/>
  <c r="B6342" i="1"/>
  <c r="B6341" i="1"/>
  <c r="B6340" i="1"/>
  <c r="B6339" i="1"/>
  <c r="B6338" i="1"/>
  <c r="B6337" i="1"/>
  <c r="B6336" i="1"/>
  <c r="B6335" i="1"/>
  <c r="B6334" i="1"/>
  <c r="B6333" i="1"/>
  <c r="B6332" i="1"/>
  <c r="B6331" i="1"/>
  <c r="B6330" i="1"/>
  <c r="B6329" i="1"/>
  <c r="B6328" i="1"/>
  <c r="B6327" i="1"/>
  <c r="B6326" i="1"/>
  <c r="B6325" i="1"/>
  <c r="B6324" i="1"/>
  <c r="B6323" i="1"/>
  <c r="B6322" i="1"/>
  <c r="B6321" i="1"/>
  <c r="B6320" i="1"/>
  <c r="B6319" i="1"/>
  <c r="B6318" i="1"/>
  <c r="B6317" i="1"/>
  <c r="B6316" i="1"/>
  <c r="B6315" i="1"/>
  <c r="B6314" i="1"/>
  <c r="B6313" i="1"/>
  <c r="B6312" i="1"/>
  <c r="B6311" i="1"/>
  <c r="B6310" i="1"/>
  <c r="B6309" i="1"/>
  <c r="B6308" i="1"/>
  <c r="B6307" i="1"/>
  <c r="B6306" i="1"/>
  <c r="B6305" i="1"/>
  <c r="B6304" i="1"/>
  <c r="B6303" i="1"/>
  <c r="B6302" i="1"/>
  <c r="B6301" i="1"/>
  <c r="B6300" i="1"/>
  <c r="B6299" i="1"/>
  <c r="B6298" i="1"/>
  <c r="B6297" i="1"/>
  <c r="B6296" i="1"/>
  <c r="B6295" i="1"/>
  <c r="B6294" i="1"/>
  <c r="B6293" i="1"/>
  <c r="B6292" i="1"/>
  <c r="B6291" i="1"/>
  <c r="B6290" i="1"/>
  <c r="B6289" i="1"/>
  <c r="B6288" i="1"/>
  <c r="B6287" i="1"/>
  <c r="B6286" i="1"/>
  <c r="B6285" i="1"/>
  <c r="B6284" i="1"/>
  <c r="B6283" i="1"/>
  <c r="B6282" i="1"/>
  <c r="B6281" i="1"/>
  <c r="B6280" i="1"/>
  <c r="B6279" i="1"/>
  <c r="B6278" i="1"/>
  <c r="B6277" i="1"/>
  <c r="B6276" i="1"/>
  <c r="B6275" i="1"/>
  <c r="B6274" i="1"/>
  <c r="B6273" i="1"/>
  <c r="B6272" i="1"/>
  <c r="B6271" i="1"/>
  <c r="B6270" i="1"/>
  <c r="B6269" i="1"/>
  <c r="B6268" i="1"/>
  <c r="B6267" i="1"/>
  <c r="B6266" i="1"/>
  <c r="B6265" i="1"/>
  <c r="B6264" i="1"/>
  <c r="B6263" i="1"/>
  <c r="B6262" i="1"/>
  <c r="B6261" i="1"/>
  <c r="B6260" i="1"/>
  <c r="B6259" i="1"/>
  <c r="B6258" i="1"/>
  <c r="B6257" i="1"/>
  <c r="B6256" i="1"/>
  <c r="B6255" i="1"/>
  <c r="B6254" i="1"/>
  <c r="B6253" i="1"/>
  <c r="B6252" i="1"/>
  <c r="B6251" i="1"/>
  <c r="B6250" i="1"/>
  <c r="B6249" i="1"/>
  <c r="B6248" i="1"/>
  <c r="B6247" i="1"/>
  <c r="B6246" i="1"/>
  <c r="B6245" i="1"/>
  <c r="B6244" i="1"/>
  <c r="B6243" i="1"/>
  <c r="B6242" i="1"/>
  <c r="B6241" i="1"/>
  <c r="B6240" i="1"/>
  <c r="B6239" i="1"/>
  <c r="B6238" i="1"/>
  <c r="B6237" i="1"/>
  <c r="B6236" i="1"/>
  <c r="B6235" i="1"/>
  <c r="B6234" i="1"/>
  <c r="B6233" i="1"/>
  <c r="B6232" i="1"/>
  <c r="B6231" i="1"/>
  <c r="B6230" i="1"/>
  <c r="B6229" i="1"/>
  <c r="B6228" i="1"/>
  <c r="B6227" i="1"/>
  <c r="B6226" i="1"/>
  <c r="B6225" i="1"/>
  <c r="B6224" i="1"/>
  <c r="B6223" i="1"/>
  <c r="B6222" i="1"/>
  <c r="B6221" i="1"/>
  <c r="B6220" i="1"/>
  <c r="B6219" i="1"/>
  <c r="B6218" i="1"/>
  <c r="B6217" i="1"/>
  <c r="B6216" i="1"/>
  <c r="B6215" i="1"/>
  <c r="B6214" i="1"/>
  <c r="B6213" i="1"/>
  <c r="B6212" i="1"/>
  <c r="B6211" i="1"/>
  <c r="B6210" i="1"/>
  <c r="B6209" i="1"/>
  <c r="B6208" i="1"/>
  <c r="B6207" i="1"/>
  <c r="B6206" i="1"/>
  <c r="B6205" i="1"/>
  <c r="B6204" i="1"/>
  <c r="B6203" i="1"/>
  <c r="B6202" i="1"/>
  <c r="B6201" i="1"/>
  <c r="B6200" i="1"/>
  <c r="B6199" i="1"/>
  <c r="B6198" i="1"/>
  <c r="B6197" i="1"/>
  <c r="B6196" i="1"/>
  <c r="B6195" i="1"/>
  <c r="B6194" i="1"/>
  <c r="B6193" i="1"/>
  <c r="B6192" i="1"/>
  <c r="B6191" i="1"/>
  <c r="B6190" i="1"/>
  <c r="B6189" i="1"/>
  <c r="B6188" i="1"/>
  <c r="B6187" i="1"/>
  <c r="B6186" i="1"/>
  <c r="B6185" i="1"/>
  <c r="B6184" i="1"/>
  <c r="B6183" i="1"/>
  <c r="B6182" i="1"/>
  <c r="B6181" i="1"/>
  <c r="B6180" i="1"/>
  <c r="B6179" i="1"/>
  <c r="B6178" i="1"/>
  <c r="B6177" i="1"/>
  <c r="B6176" i="1"/>
  <c r="B6175" i="1"/>
  <c r="B6174" i="1"/>
  <c r="B6173" i="1"/>
  <c r="B6172" i="1"/>
  <c r="B6171" i="1"/>
  <c r="B6170" i="1"/>
  <c r="B6169" i="1"/>
  <c r="B6168" i="1"/>
  <c r="B6167" i="1"/>
  <c r="B6166" i="1"/>
  <c r="B6165" i="1"/>
  <c r="B6164" i="1"/>
  <c r="B6163" i="1"/>
  <c r="B6162" i="1"/>
  <c r="B6161" i="1"/>
  <c r="B6160" i="1"/>
  <c r="B6159" i="1"/>
  <c r="B6158" i="1"/>
  <c r="B6157" i="1"/>
  <c r="B6156" i="1"/>
  <c r="B6155" i="1"/>
  <c r="B6154" i="1"/>
  <c r="B6153" i="1"/>
  <c r="B6152" i="1"/>
  <c r="B6151" i="1"/>
  <c r="B6150" i="1"/>
  <c r="B6149" i="1"/>
  <c r="B6148" i="1"/>
  <c r="B6147" i="1"/>
  <c r="B6146" i="1"/>
  <c r="B6145" i="1"/>
  <c r="B6144" i="1"/>
  <c r="B6143" i="1"/>
  <c r="B6142" i="1"/>
  <c r="B6141" i="1"/>
  <c r="B6140" i="1"/>
  <c r="B6139" i="1"/>
  <c r="B6138" i="1"/>
  <c r="B6137" i="1"/>
  <c r="B6136" i="1"/>
  <c r="B6135" i="1"/>
  <c r="B6134" i="1"/>
  <c r="B6133" i="1"/>
  <c r="B6132" i="1"/>
  <c r="B6131" i="1"/>
  <c r="B6130" i="1"/>
  <c r="B6129" i="1"/>
  <c r="B6128" i="1"/>
  <c r="B6127" i="1"/>
  <c r="B6126" i="1"/>
  <c r="B6125" i="1"/>
  <c r="B6124" i="1"/>
  <c r="B6123" i="1"/>
  <c r="B6122" i="1"/>
  <c r="B6121" i="1"/>
  <c r="B6120" i="1"/>
  <c r="B6119" i="1"/>
  <c r="B6118" i="1"/>
  <c r="B6117" i="1"/>
  <c r="B6116" i="1"/>
  <c r="B6115" i="1"/>
  <c r="B6114" i="1"/>
  <c r="B6113" i="1"/>
  <c r="B6112" i="1"/>
  <c r="B6111" i="1"/>
  <c r="B6110" i="1"/>
  <c r="B6109" i="1"/>
  <c r="B6108" i="1"/>
  <c r="B6107" i="1"/>
  <c r="B6106" i="1"/>
  <c r="B6105" i="1"/>
  <c r="B6104" i="1"/>
  <c r="B6103" i="1"/>
  <c r="B6102" i="1"/>
  <c r="B6101" i="1"/>
  <c r="B6100" i="1"/>
  <c r="B6099" i="1"/>
  <c r="B6098" i="1"/>
  <c r="B6097" i="1"/>
  <c r="B6096" i="1"/>
  <c r="B6095" i="1"/>
  <c r="B6094" i="1"/>
  <c r="B6093" i="1"/>
  <c r="B6092" i="1"/>
  <c r="B6091" i="1"/>
  <c r="B6090" i="1"/>
  <c r="B6089" i="1"/>
  <c r="B6088" i="1"/>
  <c r="B6087" i="1"/>
  <c r="B6086" i="1"/>
  <c r="B6085" i="1"/>
  <c r="B6084" i="1"/>
  <c r="B6083" i="1"/>
  <c r="B6082" i="1"/>
  <c r="B6081" i="1"/>
  <c r="B6080" i="1"/>
  <c r="B6079" i="1"/>
  <c r="B6078" i="1"/>
  <c r="B6077" i="1"/>
  <c r="B6076" i="1"/>
  <c r="B6075" i="1"/>
  <c r="B6074" i="1"/>
  <c r="B6073" i="1"/>
  <c r="B6072" i="1"/>
  <c r="B6071" i="1"/>
  <c r="B6070" i="1"/>
  <c r="B6069" i="1"/>
  <c r="B6068" i="1"/>
  <c r="B6067" i="1"/>
  <c r="B6066" i="1"/>
  <c r="B6065" i="1"/>
  <c r="B6064" i="1"/>
  <c r="B6063" i="1"/>
  <c r="B6062" i="1"/>
  <c r="B6061" i="1"/>
  <c r="B6060" i="1"/>
  <c r="B6059" i="1"/>
  <c r="B6058" i="1"/>
  <c r="B6057" i="1"/>
  <c r="B6056" i="1"/>
  <c r="B6055" i="1"/>
  <c r="B6054" i="1"/>
  <c r="B6053" i="1"/>
  <c r="B6052" i="1"/>
  <c r="B6051" i="1"/>
  <c r="B6050" i="1"/>
  <c r="B6049" i="1"/>
  <c r="B6048" i="1"/>
  <c r="B6047" i="1"/>
  <c r="B6046" i="1"/>
  <c r="B6045" i="1"/>
  <c r="B6044" i="1"/>
  <c r="B6043" i="1"/>
  <c r="B6042" i="1"/>
  <c r="B6041" i="1"/>
  <c r="B6040" i="1"/>
  <c r="B6039" i="1"/>
  <c r="B6038" i="1"/>
  <c r="B6037" i="1"/>
  <c r="B6036" i="1"/>
  <c r="B6035" i="1"/>
  <c r="B6034" i="1"/>
  <c r="B6033" i="1"/>
  <c r="B6032" i="1"/>
  <c r="B6031" i="1"/>
  <c r="B6030" i="1"/>
  <c r="B6029" i="1"/>
  <c r="B6028" i="1"/>
  <c r="B6027" i="1"/>
  <c r="B6026" i="1"/>
  <c r="B6025" i="1"/>
  <c r="B6024" i="1"/>
  <c r="B6023" i="1"/>
  <c r="B6022" i="1"/>
  <c r="B6021" i="1"/>
  <c r="B6020" i="1"/>
  <c r="B6019" i="1"/>
  <c r="B6018" i="1"/>
  <c r="B6017" i="1"/>
  <c r="B6016" i="1"/>
  <c r="B6015" i="1"/>
  <c r="B6014" i="1"/>
  <c r="B6013" i="1"/>
  <c r="B6012" i="1"/>
  <c r="B6011" i="1"/>
  <c r="B6010" i="1"/>
  <c r="B6009" i="1"/>
  <c r="B6008" i="1"/>
  <c r="B6007" i="1"/>
  <c r="B6006" i="1"/>
  <c r="B6005" i="1"/>
  <c r="B6004" i="1"/>
  <c r="B6003" i="1"/>
  <c r="B6002" i="1"/>
  <c r="B6001" i="1"/>
  <c r="B6000" i="1"/>
  <c r="B5999" i="1"/>
  <c r="B5998" i="1"/>
  <c r="B5997" i="1"/>
  <c r="B5996" i="1"/>
  <c r="B5995" i="1"/>
  <c r="B5994" i="1"/>
  <c r="B5993" i="1"/>
  <c r="B5992" i="1"/>
  <c r="B5991" i="1"/>
  <c r="B5990" i="1"/>
  <c r="B5989" i="1"/>
  <c r="B5988" i="1"/>
  <c r="B5987" i="1"/>
  <c r="B5986" i="1"/>
  <c r="B5985" i="1"/>
  <c r="B5984" i="1"/>
  <c r="B5983" i="1"/>
  <c r="B5982" i="1"/>
  <c r="B5981" i="1"/>
  <c r="B5980" i="1"/>
  <c r="B5979" i="1"/>
  <c r="B5978" i="1"/>
  <c r="B5977" i="1"/>
  <c r="B5976" i="1"/>
  <c r="B5975" i="1"/>
  <c r="B5974" i="1"/>
  <c r="B5973" i="1"/>
  <c r="B5972" i="1"/>
  <c r="B5971" i="1"/>
  <c r="B5970" i="1"/>
  <c r="B5969" i="1"/>
  <c r="B5968" i="1"/>
  <c r="B5967" i="1"/>
  <c r="B5966" i="1"/>
  <c r="B5965" i="1"/>
  <c r="B5964" i="1"/>
  <c r="B5963" i="1"/>
  <c r="B5962" i="1"/>
  <c r="B5961" i="1"/>
  <c r="B5960" i="1"/>
  <c r="B5959" i="1"/>
  <c r="B5958" i="1"/>
  <c r="B5957" i="1"/>
  <c r="B5956" i="1"/>
  <c r="B5955" i="1"/>
  <c r="B5954" i="1"/>
  <c r="B5953" i="1"/>
  <c r="B5952" i="1"/>
  <c r="B5951" i="1"/>
  <c r="B5950" i="1"/>
  <c r="B5949" i="1"/>
  <c r="B5948" i="1"/>
  <c r="B5947" i="1"/>
  <c r="B5946" i="1"/>
  <c r="B5945" i="1"/>
  <c r="B5944" i="1"/>
  <c r="B5943" i="1"/>
  <c r="B5942" i="1"/>
  <c r="B5941" i="1"/>
  <c r="B5940" i="1"/>
  <c r="B5939" i="1"/>
  <c r="B5938" i="1"/>
  <c r="B5937" i="1"/>
  <c r="B5936" i="1"/>
  <c r="B5935" i="1"/>
  <c r="B5934" i="1"/>
  <c r="B5933" i="1"/>
  <c r="B5932" i="1"/>
  <c r="B5931" i="1"/>
  <c r="B5930" i="1"/>
  <c r="B5929" i="1"/>
  <c r="B5928" i="1"/>
  <c r="B5927" i="1"/>
  <c r="B5926" i="1"/>
  <c r="B5925" i="1"/>
  <c r="B5924" i="1"/>
  <c r="B5923" i="1"/>
  <c r="B5922" i="1"/>
  <c r="B5921" i="1"/>
  <c r="B5920" i="1"/>
  <c r="B5919" i="1"/>
  <c r="B5918" i="1"/>
  <c r="B5917" i="1"/>
  <c r="B5916" i="1"/>
  <c r="B5915" i="1"/>
  <c r="B5914" i="1"/>
  <c r="B5913" i="1"/>
  <c r="B5912" i="1"/>
  <c r="B5911" i="1"/>
  <c r="B5910" i="1"/>
  <c r="B5909" i="1"/>
  <c r="B5908" i="1"/>
  <c r="B5907" i="1"/>
  <c r="B5906" i="1"/>
  <c r="B5905" i="1"/>
  <c r="B5904" i="1"/>
  <c r="B5903" i="1"/>
  <c r="B5902" i="1"/>
  <c r="B5901" i="1"/>
  <c r="B5900" i="1"/>
  <c r="B5899" i="1"/>
  <c r="B5898" i="1"/>
  <c r="B5897" i="1"/>
  <c r="B5896" i="1"/>
  <c r="B5895" i="1"/>
  <c r="B5894" i="1"/>
  <c r="B5893" i="1"/>
  <c r="B5892" i="1"/>
  <c r="B5891" i="1"/>
  <c r="B5890" i="1"/>
  <c r="B5889" i="1"/>
  <c r="B5888" i="1"/>
  <c r="B5887" i="1"/>
  <c r="B5886" i="1"/>
  <c r="B5885" i="1"/>
  <c r="B5884" i="1"/>
  <c r="B5883" i="1"/>
  <c r="B5882" i="1"/>
  <c r="B5881" i="1"/>
  <c r="B5880" i="1"/>
  <c r="B5879" i="1"/>
  <c r="B5878" i="1"/>
  <c r="B5877" i="1"/>
  <c r="B5876" i="1"/>
  <c r="B5875" i="1"/>
  <c r="B5874" i="1"/>
  <c r="B5873" i="1"/>
  <c r="B5872" i="1"/>
  <c r="B5871" i="1"/>
  <c r="B5870" i="1"/>
  <c r="B5869" i="1"/>
  <c r="B5868" i="1"/>
  <c r="B5867" i="1"/>
  <c r="B5866" i="1"/>
  <c r="B5865" i="1"/>
  <c r="B5864" i="1"/>
  <c r="B5863" i="1"/>
  <c r="B5862" i="1"/>
  <c r="B5861" i="1"/>
  <c r="B5860" i="1"/>
  <c r="B5859" i="1"/>
  <c r="B5858" i="1"/>
  <c r="B5857" i="1"/>
  <c r="B5856" i="1"/>
  <c r="B5855" i="1"/>
  <c r="B5854" i="1"/>
  <c r="B5853" i="1"/>
  <c r="B5852" i="1"/>
  <c r="B5851" i="1"/>
  <c r="B5850" i="1"/>
  <c r="B5849" i="1"/>
  <c r="B5848" i="1"/>
  <c r="B5847" i="1"/>
  <c r="B5846" i="1"/>
  <c r="B5845" i="1"/>
  <c r="B5844" i="1"/>
  <c r="B5843" i="1"/>
  <c r="B5842" i="1"/>
  <c r="B5841" i="1"/>
  <c r="B5840" i="1"/>
  <c r="B5839" i="1"/>
  <c r="B5838" i="1"/>
  <c r="B5837" i="1"/>
  <c r="B5836" i="1"/>
  <c r="B5835" i="1"/>
  <c r="B5834" i="1"/>
  <c r="B5833" i="1"/>
  <c r="B5832" i="1"/>
  <c r="B5831" i="1"/>
  <c r="B5830" i="1"/>
  <c r="B5829" i="1"/>
  <c r="B5828" i="1"/>
  <c r="B5827" i="1"/>
  <c r="B5826" i="1"/>
  <c r="B5825" i="1"/>
  <c r="B5824" i="1"/>
  <c r="B5823" i="1"/>
  <c r="B5822" i="1"/>
  <c r="B5821" i="1"/>
  <c r="B5820" i="1"/>
  <c r="B5819" i="1"/>
  <c r="B5818" i="1"/>
  <c r="B5817" i="1"/>
  <c r="B5816" i="1"/>
  <c r="B5815" i="1"/>
  <c r="B5814" i="1"/>
  <c r="B5813" i="1"/>
  <c r="B5812" i="1"/>
  <c r="B5811" i="1"/>
  <c r="B5810" i="1"/>
  <c r="B5809" i="1"/>
  <c r="B5808" i="1"/>
  <c r="B5807" i="1"/>
  <c r="B5806" i="1"/>
  <c r="B5805" i="1"/>
  <c r="B5804" i="1"/>
  <c r="B5803" i="1"/>
  <c r="B5802" i="1"/>
  <c r="B5801" i="1"/>
  <c r="B5800" i="1"/>
  <c r="B5799" i="1"/>
  <c r="B5798" i="1"/>
  <c r="B5797" i="1"/>
  <c r="B5796" i="1"/>
  <c r="B5795" i="1"/>
  <c r="B5794" i="1"/>
  <c r="B5793" i="1"/>
  <c r="B5792" i="1"/>
  <c r="B5791" i="1"/>
  <c r="B5790" i="1"/>
  <c r="B5789" i="1"/>
  <c r="B5788" i="1"/>
  <c r="B5787" i="1"/>
  <c r="B5786" i="1"/>
  <c r="B5785" i="1"/>
  <c r="B5784" i="1"/>
  <c r="B5783" i="1"/>
  <c r="B5782" i="1"/>
  <c r="B5781" i="1"/>
  <c r="B5780" i="1"/>
  <c r="B5779" i="1"/>
  <c r="B5778" i="1"/>
  <c r="B5777" i="1"/>
  <c r="B5776" i="1"/>
  <c r="B5775" i="1"/>
  <c r="B5774" i="1"/>
  <c r="B5773" i="1"/>
  <c r="B5772" i="1"/>
  <c r="B5771" i="1"/>
  <c r="B5770" i="1"/>
  <c r="B5769" i="1"/>
  <c r="B5768" i="1"/>
  <c r="B5767" i="1"/>
  <c r="B5766" i="1"/>
  <c r="B5765" i="1"/>
  <c r="B5764" i="1"/>
  <c r="B5763" i="1"/>
  <c r="B5762" i="1"/>
  <c r="B5761" i="1"/>
  <c r="B5760" i="1"/>
  <c r="B5759" i="1"/>
  <c r="B5758" i="1"/>
  <c r="B5757" i="1"/>
  <c r="B5756" i="1"/>
  <c r="B5755" i="1"/>
  <c r="B5754" i="1"/>
  <c r="B5753" i="1"/>
  <c r="B5752" i="1"/>
  <c r="B5751" i="1"/>
  <c r="B5750" i="1"/>
  <c r="B5749" i="1"/>
  <c r="B5748" i="1"/>
  <c r="B5747" i="1"/>
  <c r="B5746" i="1"/>
  <c r="B5745" i="1"/>
  <c r="B5744" i="1"/>
  <c r="B5743" i="1"/>
  <c r="B5742" i="1"/>
  <c r="B5741" i="1"/>
  <c r="B5740" i="1"/>
  <c r="B5739" i="1"/>
  <c r="B5738" i="1"/>
  <c r="B5737" i="1"/>
  <c r="B5736" i="1"/>
  <c r="B5735" i="1"/>
  <c r="B5734" i="1"/>
  <c r="B5733" i="1"/>
  <c r="B5732" i="1"/>
  <c r="B5731" i="1"/>
  <c r="B5730" i="1"/>
  <c r="B5729" i="1"/>
  <c r="B5728" i="1"/>
  <c r="B5727" i="1"/>
  <c r="B5726" i="1"/>
  <c r="B5725" i="1"/>
  <c r="B5724" i="1"/>
  <c r="B5723" i="1"/>
  <c r="B5722" i="1"/>
  <c r="B5721" i="1"/>
  <c r="B5720" i="1"/>
  <c r="B5719" i="1"/>
  <c r="B5718" i="1"/>
  <c r="B5717" i="1"/>
  <c r="B5716" i="1"/>
  <c r="B5715" i="1"/>
  <c r="B5714" i="1"/>
  <c r="B5713" i="1"/>
  <c r="B5712" i="1"/>
  <c r="B5711" i="1"/>
  <c r="B5710" i="1"/>
  <c r="B5709" i="1"/>
  <c r="B5708" i="1"/>
  <c r="B5707" i="1"/>
  <c r="B5706" i="1"/>
  <c r="B5705" i="1"/>
  <c r="B5704" i="1"/>
  <c r="B5703" i="1"/>
  <c r="B5702" i="1"/>
  <c r="B5701" i="1"/>
  <c r="B5700" i="1"/>
  <c r="B5699" i="1"/>
  <c r="B5698" i="1"/>
  <c r="B5697" i="1"/>
  <c r="B5696" i="1"/>
  <c r="B5695" i="1"/>
  <c r="B5694" i="1"/>
  <c r="B5693" i="1"/>
  <c r="B5692" i="1"/>
  <c r="B5691" i="1"/>
  <c r="B5690" i="1"/>
  <c r="B5689" i="1"/>
  <c r="B5688" i="1"/>
  <c r="B5687" i="1"/>
  <c r="B5686" i="1"/>
  <c r="B5685" i="1"/>
  <c r="B5684" i="1"/>
  <c r="B5683" i="1"/>
  <c r="B5682" i="1"/>
  <c r="B5681" i="1"/>
  <c r="B5680" i="1"/>
  <c r="B5679" i="1"/>
  <c r="B5678" i="1"/>
  <c r="B5677" i="1"/>
  <c r="B5676" i="1"/>
  <c r="B5675" i="1"/>
  <c r="B5674" i="1"/>
  <c r="B5673" i="1"/>
  <c r="B5672" i="1"/>
  <c r="B5671" i="1"/>
  <c r="B5670" i="1"/>
  <c r="B5669" i="1"/>
  <c r="B5668" i="1"/>
  <c r="B5667" i="1"/>
  <c r="B5666" i="1"/>
  <c r="B5665" i="1"/>
  <c r="B5664" i="1"/>
  <c r="B5663" i="1"/>
  <c r="B5662" i="1"/>
  <c r="B5661" i="1"/>
  <c r="B5660" i="1"/>
  <c r="B5659" i="1"/>
  <c r="B5658" i="1"/>
  <c r="B5657" i="1"/>
  <c r="B5656" i="1"/>
  <c r="B5655" i="1"/>
  <c r="B5654" i="1"/>
  <c r="B5653" i="1"/>
  <c r="B5652" i="1"/>
  <c r="B5651" i="1"/>
  <c r="B5650" i="1"/>
  <c r="B5649" i="1"/>
  <c r="B5648" i="1"/>
  <c r="B5647" i="1"/>
  <c r="B5646" i="1"/>
  <c r="B5645" i="1"/>
  <c r="B5644" i="1"/>
  <c r="B5643" i="1"/>
  <c r="B5642" i="1"/>
  <c r="B5641" i="1"/>
  <c r="B5640" i="1"/>
  <c r="B5639" i="1"/>
  <c r="B5638" i="1"/>
  <c r="B5637" i="1"/>
  <c r="B5636" i="1"/>
  <c r="B5635" i="1"/>
  <c r="B5634" i="1"/>
  <c r="B5633" i="1"/>
  <c r="B5632" i="1"/>
  <c r="B5631" i="1"/>
  <c r="B5630" i="1"/>
  <c r="B5629" i="1"/>
  <c r="B5628" i="1"/>
  <c r="B5627" i="1"/>
  <c r="B5626" i="1"/>
  <c r="B5625" i="1"/>
  <c r="B5624" i="1"/>
  <c r="B5623" i="1"/>
  <c r="B5622" i="1"/>
  <c r="B5621" i="1"/>
  <c r="B5620" i="1"/>
  <c r="B5619" i="1"/>
  <c r="B5618" i="1"/>
  <c r="B5617" i="1"/>
  <c r="B5616" i="1"/>
  <c r="B5615" i="1"/>
  <c r="B5614" i="1"/>
  <c r="B5613" i="1"/>
  <c r="B5612" i="1"/>
  <c r="B5611" i="1"/>
  <c r="B5610" i="1"/>
  <c r="B5609" i="1"/>
  <c r="B5608" i="1"/>
  <c r="B5607" i="1"/>
  <c r="B5606" i="1"/>
  <c r="B5605" i="1"/>
  <c r="B5604" i="1"/>
  <c r="B5603" i="1"/>
  <c r="B5602" i="1"/>
  <c r="B5601" i="1"/>
  <c r="B5600" i="1"/>
  <c r="B5599" i="1"/>
  <c r="B5598" i="1"/>
  <c r="B5597" i="1"/>
  <c r="B5596" i="1"/>
  <c r="B5595" i="1"/>
  <c r="B5594" i="1"/>
  <c r="B5593" i="1"/>
  <c r="B5592" i="1"/>
  <c r="B5591" i="1"/>
  <c r="B5590" i="1"/>
  <c r="B5589" i="1"/>
  <c r="B5588" i="1"/>
  <c r="B5587" i="1"/>
  <c r="B5586" i="1"/>
  <c r="B5585" i="1"/>
  <c r="B5584" i="1"/>
  <c r="B5583" i="1"/>
  <c r="B5582" i="1"/>
  <c r="B5581" i="1"/>
  <c r="B5580" i="1"/>
  <c r="B5579" i="1"/>
  <c r="B5578" i="1"/>
  <c r="B5577" i="1"/>
  <c r="B5576" i="1"/>
  <c r="B5575" i="1"/>
  <c r="B5574" i="1"/>
  <c r="B5573" i="1"/>
  <c r="B5572" i="1"/>
  <c r="B5571" i="1"/>
  <c r="B5570" i="1"/>
  <c r="B5569" i="1"/>
  <c r="B5568" i="1"/>
  <c r="B5567" i="1"/>
  <c r="B5566" i="1"/>
  <c r="B5565" i="1"/>
  <c r="B5564" i="1"/>
  <c r="B5563" i="1"/>
  <c r="B5562" i="1"/>
  <c r="B5561" i="1"/>
  <c r="B5560" i="1"/>
  <c r="B5559" i="1"/>
  <c r="B5558" i="1"/>
  <c r="B5557" i="1"/>
  <c r="B5556" i="1"/>
  <c r="B5555" i="1"/>
  <c r="B5554" i="1"/>
  <c r="B5553" i="1"/>
  <c r="B5552" i="1"/>
  <c r="B5551" i="1"/>
  <c r="B5550" i="1"/>
  <c r="B5549" i="1"/>
  <c r="B5548" i="1"/>
  <c r="B5547" i="1"/>
  <c r="B5546" i="1"/>
  <c r="B5545" i="1"/>
  <c r="B5544" i="1"/>
  <c r="B5543" i="1"/>
  <c r="B5542" i="1"/>
  <c r="B5541" i="1"/>
  <c r="B5540" i="1"/>
  <c r="B5539" i="1"/>
  <c r="B5538" i="1"/>
  <c r="B5537" i="1"/>
  <c r="B5536" i="1"/>
  <c r="B5535" i="1"/>
  <c r="B5534" i="1"/>
  <c r="B5533" i="1"/>
  <c r="B5532" i="1"/>
  <c r="B5531" i="1"/>
  <c r="B5530" i="1"/>
  <c r="B5529" i="1"/>
  <c r="B5528" i="1"/>
  <c r="B5527" i="1"/>
  <c r="B5526" i="1"/>
  <c r="B5525" i="1"/>
  <c r="B5524" i="1"/>
  <c r="B5523" i="1"/>
  <c r="B5522" i="1"/>
  <c r="B5521" i="1"/>
  <c r="B5520" i="1"/>
  <c r="B5519" i="1"/>
  <c r="B5518" i="1"/>
  <c r="B5517" i="1"/>
  <c r="B5516" i="1"/>
  <c r="B5515" i="1"/>
  <c r="B5514" i="1"/>
  <c r="B5513" i="1"/>
  <c r="B5512" i="1"/>
  <c r="B5511" i="1"/>
  <c r="B5510" i="1"/>
  <c r="B5509" i="1"/>
  <c r="B5508" i="1"/>
  <c r="B5507" i="1"/>
  <c r="B5506" i="1"/>
  <c r="B5505" i="1"/>
  <c r="B5504" i="1"/>
  <c r="B5503" i="1"/>
  <c r="B5502" i="1"/>
  <c r="B5501" i="1"/>
  <c r="B5500" i="1"/>
  <c r="B5499" i="1"/>
  <c r="B5498" i="1"/>
  <c r="B5497" i="1"/>
  <c r="B5496" i="1"/>
  <c r="B5495" i="1"/>
  <c r="B5494" i="1"/>
  <c r="B5493" i="1"/>
  <c r="B5492" i="1"/>
  <c r="B5491" i="1"/>
  <c r="B5490" i="1"/>
  <c r="B5489" i="1"/>
  <c r="B5488" i="1"/>
  <c r="B5487" i="1"/>
  <c r="B5486" i="1"/>
  <c r="B5485" i="1"/>
  <c r="B5484" i="1"/>
  <c r="B5483" i="1"/>
  <c r="B5482" i="1"/>
  <c r="B5481" i="1"/>
  <c r="B5480" i="1"/>
  <c r="B5479" i="1"/>
  <c r="B5478" i="1"/>
  <c r="B5477" i="1"/>
  <c r="B5476" i="1"/>
  <c r="B5475" i="1"/>
  <c r="B5474" i="1"/>
  <c r="B5473" i="1"/>
  <c r="B5472" i="1"/>
  <c r="B5471" i="1"/>
  <c r="B5470" i="1"/>
  <c r="B5469" i="1"/>
  <c r="B5468" i="1"/>
  <c r="B5467" i="1"/>
  <c r="B5466" i="1"/>
  <c r="B5465" i="1"/>
  <c r="B5464" i="1"/>
  <c r="B5463" i="1"/>
  <c r="B5462" i="1"/>
  <c r="B5461" i="1"/>
  <c r="B5460" i="1"/>
  <c r="B5459" i="1"/>
  <c r="B5458" i="1"/>
  <c r="B5457" i="1"/>
  <c r="B5456" i="1"/>
  <c r="B5455" i="1"/>
  <c r="B5454" i="1"/>
  <c r="B5453" i="1"/>
  <c r="B5452" i="1"/>
  <c r="B5451" i="1"/>
  <c r="B5450" i="1"/>
  <c r="B5449" i="1"/>
  <c r="B5448" i="1"/>
  <c r="B5447" i="1"/>
  <c r="B5446" i="1"/>
  <c r="B5445" i="1"/>
  <c r="B5444" i="1"/>
  <c r="B5443" i="1"/>
  <c r="B5442" i="1"/>
  <c r="B5441" i="1"/>
  <c r="B5440" i="1"/>
  <c r="B5439" i="1"/>
  <c r="B5438" i="1"/>
  <c r="B5437" i="1"/>
  <c r="B5436" i="1"/>
  <c r="B5435" i="1"/>
  <c r="B5434" i="1"/>
  <c r="B5433" i="1"/>
  <c r="B5432" i="1"/>
  <c r="B5431" i="1"/>
  <c r="B5430" i="1"/>
  <c r="B5429" i="1"/>
  <c r="B5428" i="1"/>
  <c r="B5427" i="1"/>
  <c r="B5426" i="1"/>
  <c r="B5425" i="1"/>
  <c r="B5424" i="1"/>
  <c r="B5423" i="1"/>
  <c r="B5422" i="1"/>
  <c r="B5421" i="1"/>
  <c r="B5420" i="1"/>
  <c r="B5419" i="1"/>
  <c r="B5418" i="1"/>
  <c r="B5417" i="1"/>
  <c r="B5416" i="1"/>
  <c r="B5415" i="1"/>
  <c r="B5414" i="1"/>
  <c r="B5413" i="1"/>
  <c r="B5412" i="1"/>
  <c r="B5411" i="1"/>
  <c r="B5410" i="1"/>
  <c r="B5409" i="1"/>
  <c r="B5408" i="1"/>
  <c r="B5407" i="1"/>
  <c r="B5406" i="1"/>
  <c r="B5405" i="1"/>
  <c r="B5404" i="1"/>
  <c r="B5403" i="1"/>
  <c r="B5402" i="1"/>
  <c r="B5401" i="1"/>
  <c r="B5400" i="1"/>
  <c r="B5399" i="1"/>
  <c r="B5398" i="1"/>
  <c r="B5397" i="1"/>
  <c r="B5396" i="1"/>
  <c r="B5395" i="1"/>
  <c r="B5394" i="1"/>
  <c r="B5393" i="1"/>
  <c r="B5392" i="1"/>
  <c r="B5391" i="1"/>
  <c r="B5390" i="1"/>
  <c r="B5389" i="1"/>
  <c r="B5388" i="1"/>
  <c r="B5387" i="1"/>
  <c r="B5386" i="1"/>
  <c r="B5385" i="1"/>
  <c r="B5384" i="1"/>
  <c r="B5383" i="1"/>
  <c r="B5382" i="1"/>
  <c r="B5381" i="1"/>
  <c r="B5380" i="1"/>
  <c r="B5379" i="1"/>
  <c r="B5378" i="1"/>
  <c r="B5377" i="1"/>
  <c r="B5376" i="1"/>
  <c r="B5375" i="1"/>
  <c r="B5374" i="1"/>
  <c r="B5373" i="1"/>
  <c r="B5372" i="1"/>
  <c r="B5371" i="1"/>
  <c r="B5370" i="1"/>
  <c r="B5369" i="1"/>
  <c r="B5368" i="1"/>
  <c r="B5367" i="1"/>
  <c r="B5366" i="1"/>
  <c r="B5365" i="1"/>
  <c r="B5364" i="1"/>
  <c r="B5363" i="1"/>
  <c r="B5362" i="1"/>
  <c r="B5361" i="1"/>
  <c r="B5360" i="1"/>
  <c r="B5359" i="1"/>
  <c r="B5358" i="1"/>
  <c r="B5357" i="1"/>
  <c r="B5356" i="1"/>
  <c r="B5355" i="1"/>
  <c r="B5354" i="1"/>
  <c r="B5353" i="1"/>
  <c r="B5352" i="1"/>
  <c r="B5351" i="1"/>
  <c r="B5350" i="1"/>
  <c r="B5349" i="1"/>
  <c r="B5348" i="1"/>
  <c r="B5347" i="1"/>
  <c r="B5346" i="1"/>
  <c r="B5345" i="1"/>
  <c r="B5344" i="1"/>
  <c r="B5343" i="1"/>
  <c r="B5342" i="1"/>
  <c r="B5341" i="1"/>
  <c r="B5340" i="1"/>
  <c r="B5339" i="1"/>
  <c r="B5338" i="1"/>
  <c r="B5337" i="1"/>
  <c r="B5336" i="1"/>
  <c r="B5335" i="1"/>
  <c r="B5334" i="1"/>
  <c r="B5333" i="1"/>
  <c r="B5332" i="1"/>
  <c r="B5331" i="1"/>
  <c r="B5330" i="1"/>
  <c r="B5329" i="1"/>
  <c r="B5328" i="1"/>
  <c r="B5327" i="1"/>
  <c r="B5326" i="1"/>
  <c r="B5325" i="1"/>
  <c r="B5324" i="1"/>
  <c r="B5323" i="1"/>
  <c r="B5322" i="1"/>
  <c r="B5321" i="1"/>
  <c r="B5320" i="1"/>
  <c r="B5319" i="1"/>
  <c r="B5318" i="1"/>
  <c r="B5317" i="1"/>
  <c r="B5316" i="1"/>
  <c r="B5315" i="1"/>
  <c r="B5314" i="1"/>
  <c r="B5313" i="1"/>
  <c r="B5312" i="1"/>
  <c r="B5311" i="1"/>
  <c r="B5310" i="1"/>
  <c r="B5309" i="1"/>
  <c r="B5308" i="1"/>
  <c r="B5307" i="1"/>
  <c r="B5306" i="1"/>
  <c r="B5305" i="1"/>
  <c r="B5304" i="1"/>
  <c r="B5303" i="1"/>
  <c r="B5302" i="1"/>
  <c r="B5301" i="1"/>
  <c r="B5300" i="1"/>
  <c r="B5299" i="1"/>
  <c r="B5298" i="1"/>
  <c r="B5297" i="1"/>
  <c r="B5296" i="1"/>
  <c r="B5295" i="1"/>
  <c r="B5294" i="1"/>
  <c r="B5293" i="1"/>
  <c r="B5292" i="1"/>
  <c r="B5291" i="1"/>
  <c r="B5290" i="1"/>
  <c r="B5289" i="1"/>
  <c r="B5288" i="1"/>
  <c r="B5287" i="1"/>
  <c r="B5286" i="1"/>
  <c r="B5285" i="1"/>
  <c r="B5284" i="1"/>
  <c r="B5283" i="1"/>
  <c r="B5282" i="1"/>
  <c r="B5281" i="1"/>
  <c r="B5280" i="1"/>
  <c r="B5279" i="1"/>
  <c r="B5278" i="1"/>
  <c r="B5277" i="1"/>
  <c r="B5276" i="1"/>
  <c r="B5275" i="1"/>
  <c r="B5274" i="1"/>
  <c r="B5273" i="1"/>
  <c r="B5272" i="1"/>
  <c r="B5271" i="1"/>
  <c r="B5270" i="1"/>
  <c r="B5269" i="1"/>
  <c r="B5268" i="1"/>
  <c r="B5267" i="1"/>
  <c r="B5266" i="1"/>
  <c r="B5265" i="1"/>
  <c r="B5264" i="1"/>
  <c r="B5263" i="1"/>
  <c r="B5262" i="1"/>
  <c r="B5261" i="1"/>
  <c r="B5260" i="1"/>
  <c r="B5259" i="1"/>
  <c r="B5258" i="1"/>
  <c r="B5257" i="1"/>
  <c r="B5256" i="1"/>
  <c r="B5255" i="1"/>
  <c r="B5254" i="1"/>
  <c r="B5253" i="1"/>
  <c r="B5252" i="1"/>
  <c r="B5251" i="1"/>
  <c r="B5250" i="1"/>
  <c r="B5249" i="1"/>
  <c r="B5248" i="1"/>
  <c r="B5247" i="1"/>
  <c r="B5246" i="1"/>
  <c r="B5245" i="1"/>
  <c r="B5244" i="1"/>
  <c r="B5243" i="1"/>
  <c r="B5242" i="1"/>
  <c r="B5241" i="1"/>
  <c r="B5240" i="1"/>
  <c r="B5239" i="1"/>
  <c r="B5238" i="1"/>
  <c r="B5237" i="1"/>
  <c r="B5236" i="1"/>
  <c r="B5235" i="1"/>
  <c r="B5234" i="1"/>
  <c r="B5233" i="1"/>
  <c r="B5232" i="1"/>
  <c r="B5231" i="1"/>
  <c r="B5230" i="1"/>
  <c r="B5229" i="1"/>
  <c r="B5228" i="1"/>
  <c r="B5227" i="1"/>
  <c r="B5226" i="1"/>
  <c r="B5225" i="1"/>
  <c r="B5224" i="1"/>
  <c r="B5223" i="1"/>
  <c r="B5222" i="1"/>
  <c r="B5221" i="1"/>
  <c r="B5220" i="1"/>
  <c r="B5219" i="1"/>
  <c r="B5218" i="1"/>
  <c r="B5217" i="1"/>
  <c r="B5216" i="1"/>
  <c r="B5215" i="1"/>
  <c r="B5214" i="1"/>
  <c r="B5213" i="1"/>
  <c r="B5212" i="1"/>
  <c r="B5211" i="1"/>
  <c r="B5210" i="1"/>
  <c r="B5209" i="1"/>
  <c r="B5208" i="1"/>
  <c r="B5207" i="1"/>
  <c r="B5206" i="1"/>
  <c r="B5205" i="1"/>
  <c r="B5204" i="1"/>
  <c r="B5203" i="1"/>
  <c r="B5202" i="1"/>
  <c r="B5201" i="1"/>
  <c r="B5200" i="1"/>
  <c r="B5199" i="1"/>
  <c r="B5198" i="1"/>
  <c r="B5197" i="1"/>
  <c r="B5196" i="1"/>
  <c r="B5195" i="1"/>
  <c r="B5194" i="1"/>
  <c r="B5193" i="1"/>
  <c r="B5192" i="1"/>
  <c r="B5191" i="1"/>
  <c r="B5190" i="1"/>
  <c r="B5189" i="1"/>
  <c r="B5188" i="1"/>
  <c r="B5187" i="1"/>
  <c r="B5186" i="1"/>
  <c r="B5185" i="1"/>
  <c r="B5184" i="1"/>
  <c r="B5183" i="1"/>
  <c r="B5182" i="1"/>
  <c r="B5181" i="1"/>
  <c r="B5180" i="1"/>
  <c r="B5179" i="1"/>
  <c r="B5178" i="1"/>
  <c r="B5177" i="1"/>
  <c r="B5176" i="1"/>
  <c r="B5175" i="1"/>
  <c r="B5174" i="1"/>
  <c r="B5173" i="1"/>
  <c r="B5172" i="1"/>
  <c r="B5171" i="1"/>
  <c r="B5170" i="1"/>
  <c r="B5169" i="1"/>
  <c r="B5168" i="1"/>
  <c r="B5167" i="1"/>
  <c r="B5166" i="1"/>
  <c r="B5165" i="1"/>
  <c r="B5164" i="1"/>
  <c r="B5163" i="1"/>
  <c r="B5162" i="1"/>
  <c r="B5161" i="1"/>
  <c r="B5160" i="1"/>
  <c r="B5159" i="1"/>
  <c r="B5158" i="1"/>
  <c r="B5157" i="1"/>
  <c r="B5156" i="1"/>
  <c r="B5155" i="1"/>
  <c r="B5154" i="1"/>
  <c r="B5153" i="1"/>
  <c r="B5152" i="1"/>
  <c r="B5151" i="1"/>
  <c r="B5150" i="1"/>
  <c r="B5149" i="1"/>
  <c r="B5148" i="1"/>
  <c r="B5147" i="1"/>
  <c r="B5146" i="1"/>
  <c r="B5145" i="1"/>
  <c r="B5144" i="1"/>
  <c r="B5143" i="1"/>
  <c r="B5142" i="1"/>
  <c r="B5141" i="1"/>
  <c r="B5140" i="1"/>
  <c r="B5139" i="1"/>
  <c r="B5138" i="1"/>
  <c r="B5137" i="1"/>
  <c r="B5136" i="1"/>
  <c r="B5135" i="1"/>
  <c r="B5134" i="1"/>
  <c r="B5133" i="1"/>
  <c r="B5132" i="1"/>
  <c r="B5131" i="1"/>
  <c r="B5130" i="1"/>
  <c r="B5129" i="1"/>
  <c r="B5128" i="1"/>
  <c r="B5127" i="1"/>
  <c r="B5126" i="1"/>
  <c r="B5125" i="1"/>
  <c r="B5124" i="1"/>
  <c r="B5123" i="1"/>
  <c r="B5122" i="1"/>
  <c r="B5121" i="1"/>
  <c r="B5120" i="1"/>
  <c r="B5119" i="1"/>
  <c r="B5118" i="1"/>
  <c r="B5117" i="1"/>
  <c r="B5116" i="1"/>
  <c r="B5115" i="1"/>
  <c r="B5114" i="1"/>
  <c r="B5113" i="1"/>
  <c r="B5112" i="1"/>
  <c r="B5111" i="1"/>
  <c r="B5110" i="1"/>
  <c r="B5109" i="1"/>
  <c r="B5108" i="1"/>
  <c r="B5107" i="1"/>
  <c r="B5106" i="1"/>
  <c r="B5105" i="1"/>
  <c r="B5104" i="1"/>
  <c r="B5103" i="1"/>
  <c r="B5102" i="1"/>
  <c r="B5101" i="1"/>
  <c r="B5100" i="1"/>
  <c r="B5099" i="1"/>
  <c r="B5098" i="1"/>
  <c r="B5097" i="1"/>
  <c r="B5096" i="1"/>
  <c r="B5095" i="1"/>
  <c r="B5094" i="1"/>
  <c r="B5093" i="1"/>
  <c r="B5092" i="1"/>
  <c r="B5091" i="1"/>
  <c r="B5090" i="1"/>
  <c r="B5089" i="1"/>
  <c r="B5088" i="1"/>
  <c r="B5087" i="1"/>
  <c r="B5086" i="1"/>
  <c r="B5085" i="1"/>
  <c r="B5084" i="1"/>
  <c r="B5083" i="1"/>
  <c r="B5082" i="1"/>
  <c r="B5081" i="1"/>
  <c r="B5080" i="1"/>
  <c r="B5079" i="1"/>
  <c r="B5078" i="1"/>
  <c r="B5077" i="1"/>
  <c r="B5076" i="1"/>
  <c r="B5075" i="1"/>
  <c r="B5074" i="1"/>
  <c r="B5073" i="1"/>
  <c r="B5072" i="1"/>
  <c r="B5071" i="1"/>
  <c r="B5070" i="1"/>
  <c r="B5069" i="1"/>
  <c r="B5068" i="1"/>
  <c r="B5067" i="1"/>
  <c r="B5066" i="1"/>
  <c r="B5065" i="1"/>
  <c r="B5064" i="1"/>
  <c r="B5063" i="1"/>
  <c r="B5062" i="1"/>
  <c r="B5061" i="1"/>
  <c r="B5060" i="1"/>
  <c r="B5059" i="1"/>
  <c r="B5058" i="1"/>
  <c r="B5057" i="1"/>
  <c r="B5056" i="1"/>
  <c r="B5055" i="1"/>
  <c r="B5054" i="1"/>
  <c r="B5053" i="1"/>
  <c r="B5052" i="1"/>
  <c r="B5051" i="1"/>
  <c r="B5050" i="1"/>
  <c r="B5049" i="1"/>
  <c r="B5048" i="1"/>
  <c r="B5047" i="1"/>
  <c r="B5046" i="1"/>
  <c r="B5045" i="1"/>
  <c r="B5044" i="1"/>
  <c r="B5043" i="1"/>
  <c r="B5042" i="1"/>
  <c r="B5041" i="1"/>
  <c r="B5040" i="1"/>
  <c r="B5039" i="1"/>
  <c r="B5038" i="1"/>
  <c r="B5037" i="1"/>
  <c r="B5036" i="1"/>
  <c r="B5035" i="1"/>
  <c r="B5034" i="1"/>
  <c r="B5033" i="1"/>
  <c r="B5032" i="1"/>
  <c r="B5031" i="1"/>
  <c r="B5030" i="1"/>
  <c r="B5029" i="1"/>
  <c r="B5028" i="1"/>
  <c r="B5027" i="1"/>
  <c r="B5026" i="1"/>
  <c r="B5025" i="1"/>
  <c r="B5024" i="1"/>
  <c r="B5023" i="1"/>
  <c r="B5022" i="1"/>
  <c r="B5021" i="1"/>
  <c r="B5020" i="1"/>
  <c r="B5019" i="1"/>
  <c r="B5018" i="1"/>
  <c r="B5017" i="1"/>
  <c r="B5016" i="1"/>
  <c r="B5015" i="1"/>
  <c r="B5014" i="1"/>
  <c r="B5013" i="1"/>
  <c r="B5012" i="1"/>
  <c r="B5011" i="1"/>
  <c r="B5010" i="1"/>
  <c r="B5009" i="1"/>
  <c r="B5008" i="1"/>
  <c r="B5007" i="1"/>
  <c r="B5006" i="1"/>
  <c r="B5005" i="1"/>
  <c r="B5004" i="1"/>
  <c r="B5003" i="1"/>
  <c r="B5002" i="1"/>
  <c r="B5001" i="1"/>
  <c r="B5000" i="1"/>
  <c r="B4999" i="1"/>
  <c r="B4998" i="1"/>
  <c r="B4997" i="1"/>
  <c r="B4996" i="1"/>
  <c r="B4995" i="1"/>
  <c r="B4994" i="1"/>
  <c r="B4993" i="1"/>
  <c r="B4992" i="1"/>
  <c r="B4991" i="1"/>
  <c r="B4990" i="1"/>
  <c r="B4989" i="1"/>
  <c r="B4988" i="1"/>
  <c r="B4987" i="1"/>
  <c r="B4986" i="1"/>
  <c r="B4985" i="1"/>
  <c r="B4984" i="1"/>
  <c r="B4983" i="1"/>
  <c r="B4982" i="1"/>
  <c r="B4981" i="1"/>
  <c r="B4980" i="1"/>
  <c r="B4979" i="1"/>
  <c r="B4978" i="1"/>
  <c r="B4977" i="1"/>
  <c r="B4976" i="1"/>
  <c r="B4975" i="1"/>
  <c r="B4974" i="1"/>
  <c r="B4973" i="1"/>
  <c r="B4972" i="1"/>
  <c r="B4971" i="1"/>
  <c r="B4970" i="1"/>
  <c r="B4969" i="1"/>
  <c r="B4968" i="1"/>
  <c r="B4967" i="1"/>
  <c r="B4966" i="1"/>
  <c r="B4965" i="1"/>
  <c r="B4964" i="1"/>
  <c r="B4963" i="1"/>
  <c r="B4962" i="1"/>
  <c r="B4961" i="1"/>
  <c r="B4960" i="1"/>
  <c r="B4959" i="1"/>
  <c r="B4958" i="1"/>
  <c r="B4957" i="1"/>
  <c r="B4956" i="1"/>
  <c r="B4955" i="1"/>
  <c r="B4954" i="1"/>
  <c r="B4953" i="1"/>
  <c r="B4952" i="1"/>
  <c r="B4951" i="1"/>
  <c r="B4950" i="1"/>
  <c r="B4949" i="1"/>
  <c r="B4948" i="1"/>
  <c r="B4947" i="1"/>
  <c r="B4946" i="1"/>
  <c r="B4945" i="1"/>
  <c r="B4944" i="1"/>
  <c r="B4943" i="1"/>
  <c r="B4942" i="1"/>
  <c r="B4941" i="1"/>
  <c r="B4940" i="1"/>
  <c r="B4939" i="1"/>
  <c r="B4938" i="1"/>
  <c r="B4937" i="1"/>
  <c r="B4936" i="1"/>
  <c r="B4935" i="1"/>
  <c r="B4934" i="1"/>
  <c r="B4933" i="1"/>
  <c r="B4932" i="1"/>
  <c r="B4931" i="1"/>
  <c r="B4930" i="1"/>
  <c r="B4929" i="1"/>
  <c r="B4928" i="1"/>
  <c r="B4927" i="1"/>
  <c r="B4926" i="1"/>
  <c r="B4925" i="1"/>
  <c r="B4924" i="1"/>
  <c r="B4923" i="1"/>
  <c r="B4922" i="1"/>
  <c r="B4921" i="1"/>
  <c r="B4920" i="1"/>
  <c r="B4919" i="1"/>
  <c r="B4918" i="1"/>
  <c r="B4917" i="1"/>
  <c r="B4916" i="1"/>
  <c r="B4915" i="1"/>
  <c r="B4914" i="1"/>
  <c r="B4913" i="1"/>
  <c r="B4912" i="1"/>
  <c r="B4911" i="1"/>
  <c r="B4910" i="1"/>
  <c r="B4909" i="1"/>
  <c r="B4908" i="1"/>
  <c r="B4907" i="1"/>
  <c r="B4906" i="1"/>
  <c r="B4905" i="1"/>
  <c r="B4904" i="1"/>
  <c r="B4903" i="1"/>
  <c r="B4902" i="1"/>
  <c r="B4901" i="1"/>
  <c r="B4900" i="1"/>
  <c r="B4899" i="1"/>
  <c r="B4898" i="1"/>
  <c r="B4897" i="1"/>
  <c r="B4896" i="1"/>
  <c r="B4895" i="1"/>
  <c r="B4894" i="1"/>
  <c r="B4893" i="1"/>
  <c r="B4892" i="1"/>
  <c r="B4891" i="1"/>
  <c r="B4890" i="1"/>
  <c r="B4889" i="1"/>
  <c r="B4888" i="1"/>
  <c r="B4887" i="1"/>
  <c r="B4886" i="1"/>
  <c r="B4885" i="1"/>
  <c r="B4884" i="1"/>
  <c r="B4883" i="1"/>
  <c r="B4882" i="1"/>
  <c r="B4881" i="1"/>
  <c r="B4880" i="1"/>
  <c r="B4879" i="1"/>
  <c r="B4878" i="1"/>
  <c r="B4877" i="1"/>
  <c r="B4876" i="1"/>
  <c r="B4875" i="1"/>
  <c r="B4874" i="1"/>
  <c r="B4873" i="1"/>
  <c r="B4872" i="1"/>
  <c r="B4871" i="1"/>
  <c r="B4870" i="1"/>
  <c r="B4869" i="1"/>
  <c r="B4868" i="1"/>
  <c r="B4867" i="1"/>
  <c r="B4866" i="1"/>
  <c r="B4865" i="1"/>
  <c r="B4864" i="1"/>
  <c r="B4863" i="1"/>
  <c r="B4862" i="1"/>
  <c r="B4861" i="1"/>
  <c r="B4860" i="1"/>
  <c r="B4859" i="1"/>
  <c r="B4858" i="1"/>
  <c r="B4857" i="1"/>
  <c r="B4856" i="1"/>
  <c r="B4855" i="1"/>
  <c r="B4854" i="1"/>
  <c r="B4853" i="1"/>
  <c r="B4852" i="1"/>
  <c r="B4851" i="1"/>
  <c r="B4850" i="1"/>
  <c r="B4849" i="1"/>
  <c r="B4848" i="1"/>
  <c r="B4847" i="1"/>
  <c r="B4846" i="1"/>
  <c r="B4845" i="1"/>
  <c r="B4844" i="1"/>
  <c r="B4843" i="1"/>
  <c r="B4842" i="1"/>
  <c r="B4841" i="1"/>
  <c r="B4840" i="1"/>
  <c r="B4839" i="1"/>
  <c r="B4838" i="1"/>
  <c r="B4837" i="1"/>
  <c r="B4836" i="1"/>
  <c r="B4835" i="1"/>
  <c r="B4834" i="1"/>
  <c r="B4833" i="1"/>
  <c r="B4832" i="1"/>
  <c r="B4831" i="1"/>
  <c r="B4830" i="1"/>
  <c r="B4829" i="1"/>
  <c r="B4828" i="1"/>
  <c r="B4827" i="1"/>
  <c r="B4826" i="1"/>
  <c r="B4825" i="1"/>
  <c r="B4824" i="1"/>
  <c r="B4823" i="1"/>
  <c r="B4822" i="1"/>
  <c r="B4821" i="1"/>
  <c r="B4820" i="1"/>
  <c r="B4819" i="1"/>
  <c r="B4818" i="1"/>
  <c r="B4817" i="1"/>
  <c r="B4816" i="1"/>
  <c r="B4815" i="1"/>
  <c r="B4814" i="1"/>
  <c r="B4813" i="1"/>
  <c r="B4812" i="1"/>
  <c r="B4811" i="1"/>
  <c r="B4810" i="1"/>
  <c r="B4809" i="1"/>
  <c r="B4808" i="1"/>
  <c r="B4807" i="1"/>
  <c r="B4806" i="1"/>
  <c r="B4805" i="1"/>
  <c r="B4804" i="1"/>
  <c r="B4803" i="1"/>
  <c r="B4802" i="1"/>
  <c r="B4801" i="1"/>
  <c r="B4800" i="1"/>
  <c r="B4799" i="1"/>
  <c r="B4798" i="1"/>
  <c r="B4797" i="1"/>
  <c r="B4796" i="1"/>
  <c r="B4795" i="1"/>
  <c r="B4794" i="1"/>
  <c r="B4793" i="1"/>
  <c r="B4792" i="1"/>
  <c r="B4791" i="1"/>
  <c r="B4790" i="1"/>
  <c r="B4789" i="1"/>
  <c r="B4788" i="1"/>
  <c r="B4787" i="1"/>
  <c r="B4786" i="1"/>
  <c r="B4785" i="1"/>
  <c r="B4784" i="1"/>
  <c r="B4783" i="1"/>
  <c r="B4782" i="1"/>
  <c r="B4781" i="1"/>
  <c r="B4780" i="1"/>
  <c r="B4779" i="1"/>
  <c r="B4778" i="1"/>
  <c r="B4777" i="1"/>
  <c r="B4776" i="1"/>
  <c r="B4775" i="1"/>
  <c r="B4774" i="1"/>
  <c r="B4773" i="1"/>
  <c r="B4772" i="1"/>
  <c r="B4771" i="1"/>
  <c r="B4770" i="1"/>
  <c r="B4769" i="1"/>
  <c r="B4768" i="1"/>
  <c r="B4767" i="1"/>
  <c r="B4766" i="1"/>
  <c r="B4765" i="1"/>
  <c r="B4764" i="1"/>
  <c r="B4763" i="1"/>
  <c r="B4762" i="1"/>
  <c r="B4761" i="1"/>
  <c r="B4760" i="1"/>
  <c r="B4759" i="1"/>
  <c r="B4758" i="1"/>
  <c r="B4757" i="1"/>
  <c r="B4756" i="1"/>
  <c r="B4755" i="1"/>
  <c r="B4754" i="1"/>
  <c r="B4753" i="1"/>
  <c r="B4752" i="1"/>
  <c r="B4751" i="1"/>
  <c r="B4750" i="1"/>
  <c r="B4749" i="1"/>
  <c r="B4748" i="1"/>
  <c r="B4747" i="1"/>
  <c r="B4746" i="1"/>
  <c r="B4745" i="1"/>
  <c r="B4744" i="1"/>
  <c r="B4743" i="1"/>
  <c r="B4742" i="1"/>
  <c r="B4741" i="1"/>
  <c r="B4740" i="1"/>
  <c r="B4739" i="1"/>
  <c r="B4738" i="1"/>
  <c r="B4737" i="1"/>
  <c r="B4736" i="1"/>
  <c r="B4735" i="1"/>
  <c r="B4734" i="1"/>
  <c r="B4733" i="1"/>
  <c r="B4732" i="1"/>
  <c r="B4731" i="1"/>
  <c r="B4730" i="1"/>
  <c r="B4729" i="1"/>
  <c r="B4728" i="1"/>
  <c r="B4727" i="1"/>
  <c r="B4726" i="1"/>
  <c r="B4725" i="1"/>
  <c r="B4724" i="1"/>
  <c r="B4723" i="1"/>
  <c r="B4722" i="1"/>
  <c r="B4721" i="1"/>
  <c r="B4720" i="1"/>
  <c r="B4719" i="1"/>
  <c r="B4718" i="1"/>
  <c r="B4717" i="1"/>
  <c r="B4716" i="1"/>
  <c r="B4715" i="1"/>
  <c r="B4714" i="1"/>
  <c r="B4713" i="1"/>
  <c r="B4712" i="1"/>
  <c r="B4711" i="1"/>
  <c r="B4710" i="1"/>
  <c r="B4709" i="1"/>
  <c r="B4708" i="1"/>
  <c r="B4707" i="1"/>
  <c r="B4706" i="1"/>
  <c r="B4705" i="1"/>
  <c r="B4704" i="1"/>
  <c r="B4703" i="1"/>
  <c r="B4702" i="1"/>
  <c r="B4701" i="1"/>
  <c r="B4700" i="1"/>
  <c r="B4699" i="1"/>
  <c r="B4698" i="1"/>
  <c r="B4697" i="1"/>
  <c r="B4696" i="1"/>
  <c r="B4695" i="1"/>
  <c r="B4694" i="1"/>
  <c r="B4693" i="1"/>
  <c r="B4692" i="1"/>
  <c r="B4691" i="1"/>
  <c r="B4690" i="1"/>
  <c r="B4689" i="1"/>
  <c r="B4688" i="1"/>
  <c r="B4687" i="1"/>
  <c r="B4686" i="1"/>
  <c r="B4685" i="1"/>
  <c r="B4684" i="1"/>
  <c r="B4683" i="1"/>
  <c r="B4682" i="1"/>
  <c r="B4681" i="1"/>
  <c r="B4680" i="1"/>
  <c r="B4679" i="1"/>
  <c r="B4678" i="1"/>
  <c r="B4677" i="1"/>
  <c r="B4676" i="1"/>
  <c r="B4675" i="1"/>
  <c r="B4674" i="1"/>
  <c r="B4673" i="1"/>
  <c r="B4672" i="1"/>
  <c r="B4671" i="1"/>
  <c r="B4670" i="1"/>
  <c r="B4669" i="1"/>
  <c r="B4668" i="1"/>
  <c r="B4667" i="1"/>
  <c r="B4666" i="1"/>
  <c r="B4665" i="1"/>
  <c r="B4664" i="1"/>
  <c r="B4663" i="1"/>
  <c r="B4662" i="1"/>
  <c r="B4661" i="1"/>
  <c r="B4660" i="1"/>
  <c r="B4659" i="1"/>
  <c r="B4658" i="1"/>
  <c r="B4657" i="1"/>
  <c r="B4656" i="1"/>
  <c r="B4655" i="1"/>
  <c r="B4654" i="1"/>
  <c r="B4653" i="1"/>
  <c r="B4652" i="1"/>
  <c r="B4651" i="1"/>
  <c r="B4650" i="1"/>
  <c r="B4649" i="1"/>
  <c r="B4648" i="1"/>
  <c r="B4647" i="1"/>
  <c r="B4646" i="1"/>
  <c r="B4645" i="1"/>
  <c r="B4644" i="1"/>
  <c r="B4643" i="1"/>
  <c r="B4642" i="1"/>
  <c r="B4641" i="1"/>
  <c r="B4640" i="1"/>
  <c r="B4639" i="1"/>
  <c r="B4638" i="1"/>
  <c r="B4637" i="1"/>
  <c r="B4636" i="1"/>
  <c r="B4635" i="1"/>
  <c r="B4634" i="1"/>
  <c r="B4633" i="1"/>
  <c r="B4632" i="1"/>
  <c r="B4631" i="1"/>
  <c r="B4630" i="1"/>
  <c r="B4629" i="1"/>
  <c r="B4628" i="1"/>
  <c r="B4627" i="1"/>
  <c r="B4626" i="1"/>
  <c r="B4625" i="1"/>
  <c r="B4624" i="1"/>
  <c r="B4623" i="1"/>
  <c r="B4622" i="1"/>
  <c r="B4621" i="1"/>
  <c r="B4620" i="1"/>
  <c r="B4619" i="1"/>
  <c r="B4618" i="1"/>
  <c r="B4617" i="1"/>
  <c r="B4616" i="1"/>
  <c r="B4615" i="1"/>
  <c r="B4614" i="1"/>
  <c r="B4613" i="1"/>
  <c r="B4612" i="1"/>
  <c r="B4611" i="1"/>
  <c r="B4610" i="1"/>
  <c r="B4609" i="1"/>
  <c r="B4608" i="1"/>
  <c r="B4607" i="1"/>
  <c r="B4606" i="1"/>
  <c r="B4605" i="1"/>
  <c r="B4604" i="1"/>
  <c r="B4603" i="1"/>
  <c r="B4602" i="1"/>
  <c r="B4601" i="1"/>
  <c r="B4600" i="1"/>
  <c r="B4599" i="1"/>
  <c r="B4598" i="1"/>
  <c r="B4597" i="1"/>
  <c r="B4596" i="1"/>
  <c r="B4595" i="1"/>
  <c r="B4594" i="1"/>
  <c r="B4593" i="1"/>
  <c r="B4592" i="1"/>
  <c r="B4591" i="1"/>
  <c r="B4590" i="1"/>
  <c r="B4589" i="1"/>
  <c r="B4588" i="1"/>
  <c r="B4587" i="1"/>
  <c r="B4586" i="1"/>
  <c r="B4585" i="1"/>
  <c r="B4584" i="1"/>
  <c r="B4583" i="1"/>
  <c r="B4582" i="1"/>
  <c r="B4581" i="1"/>
  <c r="B4580" i="1"/>
  <c r="B4579" i="1"/>
  <c r="B4578" i="1"/>
  <c r="B4577" i="1"/>
  <c r="B4576" i="1"/>
  <c r="B4575" i="1"/>
  <c r="B4574" i="1"/>
  <c r="B4573" i="1"/>
  <c r="B4572" i="1"/>
  <c r="B4571" i="1"/>
  <c r="B4570" i="1"/>
  <c r="B4569" i="1"/>
  <c r="B4568" i="1"/>
  <c r="B4567" i="1"/>
  <c r="B4566" i="1"/>
  <c r="B4565" i="1"/>
  <c r="B4564" i="1"/>
  <c r="B4563" i="1"/>
  <c r="B4562" i="1"/>
  <c r="B4561" i="1"/>
  <c r="B4560" i="1"/>
  <c r="B4559" i="1"/>
  <c r="B4558" i="1"/>
  <c r="B4557" i="1"/>
  <c r="B4556" i="1"/>
  <c r="B4555" i="1"/>
  <c r="B4554" i="1"/>
  <c r="B4553" i="1"/>
  <c r="B4552" i="1"/>
  <c r="B4551" i="1"/>
  <c r="B4550" i="1"/>
  <c r="B4549" i="1"/>
  <c r="B4548" i="1"/>
  <c r="B4547" i="1"/>
  <c r="B4546" i="1"/>
  <c r="B4545" i="1"/>
  <c r="B4544" i="1"/>
  <c r="B4543" i="1"/>
  <c r="B4542" i="1"/>
  <c r="B4541" i="1"/>
  <c r="B4540" i="1"/>
  <c r="B4539" i="1"/>
  <c r="B4538" i="1"/>
  <c r="B4537" i="1"/>
  <c r="B4536" i="1"/>
  <c r="B4535" i="1"/>
  <c r="B4534" i="1"/>
  <c r="B4533" i="1"/>
  <c r="B4532" i="1"/>
  <c r="B4531" i="1"/>
  <c r="B4530" i="1"/>
  <c r="B4529" i="1"/>
  <c r="B4528" i="1"/>
  <c r="B4527" i="1"/>
  <c r="B4526" i="1"/>
  <c r="B4525" i="1"/>
  <c r="B4524" i="1"/>
  <c r="B4523" i="1"/>
  <c r="B4522" i="1"/>
  <c r="B4521" i="1"/>
  <c r="B4520" i="1"/>
  <c r="B4519" i="1"/>
  <c r="B4518" i="1"/>
  <c r="B4517" i="1"/>
  <c r="B4516" i="1"/>
  <c r="B4515" i="1"/>
  <c r="B4514" i="1"/>
  <c r="B4513" i="1"/>
  <c r="B4512" i="1"/>
  <c r="B4511" i="1"/>
  <c r="B4510" i="1"/>
  <c r="B4509" i="1"/>
  <c r="B4508" i="1"/>
  <c r="B4507" i="1"/>
  <c r="B4506" i="1"/>
  <c r="B4505" i="1"/>
  <c r="B4504" i="1"/>
  <c r="B4503" i="1"/>
  <c r="B4502" i="1"/>
  <c r="B4501" i="1"/>
  <c r="B4500" i="1"/>
  <c r="B4499" i="1"/>
  <c r="B4498" i="1"/>
  <c r="B4497" i="1"/>
  <c r="B4496" i="1"/>
  <c r="B4495" i="1"/>
  <c r="B4494" i="1"/>
  <c r="B4493" i="1"/>
  <c r="B4492" i="1"/>
  <c r="B4491" i="1"/>
  <c r="B4490" i="1"/>
  <c r="B4489" i="1"/>
  <c r="B4488" i="1"/>
  <c r="B4487" i="1"/>
  <c r="B4486" i="1"/>
  <c r="B4485" i="1"/>
  <c r="B4484" i="1"/>
  <c r="B4483" i="1"/>
  <c r="B4482" i="1"/>
  <c r="B4481" i="1"/>
  <c r="B4480" i="1"/>
  <c r="B4479" i="1"/>
  <c r="B4478" i="1"/>
  <c r="B4477" i="1"/>
  <c r="B4476" i="1"/>
  <c r="B4475" i="1"/>
  <c r="B4474" i="1"/>
  <c r="B4473" i="1"/>
  <c r="B4472" i="1"/>
  <c r="B4471" i="1"/>
  <c r="B4470" i="1"/>
  <c r="B4469" i="1"/>
  <c r="B4468" i="1"/>
  <c r="B4467" i="1"/>
  <c r="B4466" i="1"/>
  <c r="B4465" i="1"/>
  <c r="B4464" i="1"/>
  <c r="B4463" i="1"/>
  <c r="B4462" i="1"/>
  <c r="B4461" i="1"/>
  <c r="B4460" i="1"/>
  <c r="B4459" i="1"/>
  <c r="B4458" i="1"/>
  <c r="B4457" i="1"/>
  <c r="B4456" i="1"/>
  <c r="B4455" i="1"/>
  <c r="B4454" i="1"/>
  <c r="B4453" i="1"/>
  <c r="B4452" i="1"/>
  <c r="B4451" i="1"/>
  <c r="B4450" i="1"/>
  <c r="B4449" i="1"/>
  <c r="B4448" i="1"/>
  <c r="B4447" i="1"/>
  <c r="B4446" i="1"/>
  <c r="B4445" i="1"/>
  <c r="B4444" i="1"/>
  <c r="B4443" i="1"/>
  <c r="B4442" i="1"/>
  <c r="B4441" i="1"/>
  <c r="B4440" i="1"/>
  <c r="B4439" i="1"/>
  <c r="B4438" i="1"/>
  <c r="B4437" i="1"/>
  <c r="B4436" i="1"/>
  <c r="B4435" i="1"/>
  <c r="B4434" i="1"/>
  <c r="B4433" i="1"/>
  <c r="B4432" i="1"/>
  <c r="B4431" i="1"/>
  <c r="B4430" i="1"/>
  <c r="B4429" i="1"/>
  <c r="B4428" i="1"/>
  <c r="B4427" i="1"/>
  <c r="B4426" i="1"/>
  <c r="B4425" i="1"/>
  <c r="B4424" i="1"/>
  <c r="B4423" i="1"/>
  <c r="B4422" i="1"/>
  <c r="B4421" i="1"/>
  <c r="B4420" i="1"/>
  <c r="B4419" i="1"/>
  <c r="B4418" i="1"/>
  <c r="B4417" i="1"/>
  <c r="B4416" i="1"/>
  <c r="B4415" i="1"/>
  <c r="B4414" i="1"/>
  <c r="B4413" i="1"/>
  <c r="B4412" i="1"/>
  <c r="B4411" i="1"/>
  <c r="B4410" i="1"/>
  <c r="B4409" i="1"/>
  <c r="B4408" i="1"/>
  <c r="B4407" i="1"/>
  <c r="B4406" i="1"/>
  <c r="B4405" i="1"/>
  <c r="B4404" i="1"/>
  <c r="B4403" i="1"/>
  <c r="B4402" i="1"/>
  <c r="B4401" i="1"/>
  <c r="B4400" i="1"/>
  <c r="B4399" i="1"/>
  <c r="B4398" i="1"/>
  <c r="B4397" i="1"/>
  <c r="B4396" i="1"/>
  <c r="B4395" i="1"/>
  <c r="B4394" i="1"/>
  <c r="B4393" i="1"/>
  <c r="B4392" i="1"/>
  <c r="B4391" i="1"/>
  <c r="B4390" i="1"/>
  <c r="B4389" i="1"/>
  <c r="B4388" i="1"/>
  <c r="B4387" i="1"/>
  <c r="B4386" i="1"/>
  <c r="B4385" i="1"/>
  <c r="B4384" i="1"/>
  <c r="B4383" i="1"/>
  <c r="B4382" i="1"/>
  <c r="B4381" i="1"/>
  <c r="B4380" i="1"/>
  <c r="B4379" i="1"/>
  <c r="B4378" i="1"/>
  <c r="B4377" i="1"/>
  <c r="B4376" i="1"/>
  <c r="B4375" i="1"/>
  <c r="B4374" i="1"/>
  <c r="B4373" i="1"/>
  <c r="B4372" i="1"/>
  <c r="B4371" i="1"/>
  <c r="B4370" i="1"/>
  <c r="B4369" i="1"/>
  <c r="B4368" i="1"/>
  <c r="B4367" i="1"/>
  <c r="B4366" i="1"/>
  <c r="B4365" i="1"/>
  <c r="B4364" i="1"/>
  <c r="B4363" i="1"/>
  <c r="B4362" i="1"/>
  <c r="B4361" i="1"/>
  <c r="B4360" i="1"/>
  <c r="B4359" i="1"/>
  <c r="B4358" i="1"/>
  <c r="B4357" i="1"/>
  <c r="B4356" i="1"/>
  <c r="B4355" i="1"/>
  <c r="B4354" i="1"/>
  <c r="B4353" i="1"/>
  <c r="B4352" i="1"/>
  <c r="B4351" i="1"/>
  <c r="B4350" i="1"/>
  <c r="B4349" i="1"/>
  <c r="B4348" i="1"/>
  <c r="B4347" i="1"/>
  <c r="B4346" i="1"/>
  <c r="B4345" i="1"/>
  <c r="B4344" i="1"/>
  <c r="B4343" i="1"/>
  <c r="B4342" i="1"/>
  <c r="B4341" i="1"/>
  <c r="B4340" i="1"/>
  <c r="B4339" i="1"/>
  <c r="B4338" i="1"/>
  <c r="B4337" i="1"/>
  <c r="B4336" i="1"/>
  <c r="B4335" i="1"/>
  <c r="B4334" i="1"/>
  <c r="B4333" i="1"/>
  <c r="B4332" i="1"/>
  <c r="B4331" i="1"/>
  <c r="B4330" i="1"/>
  <c r="B4329" i="1"/>
  <c r="B4328" i="1"/>
  <c r="B4327" i="1"/>
  <c r="B4326" i="1"/>
  <c r="B4325" i="1"/>
  <c r="B4324" i="1"/>
  <c r="B4323" i="1"/>
  <c r="B4322" i="1"/>
  <c r="B4321" i="1"/>
  <c r="B4320" i="1"/>
  <c r="B4319" i="1"/>
  <c r="B4318" i="1"/>
  <c r="B4317" i="1"/>
  <c r="B4316" i="1"/>
  <c r="B4315" i="1"/>
  <c r="B4314" i="1"/>
  <c r="B4313" i="1"/>
  <c r="B4312" i="1"/>
  <c r="B4311" i="1"/>
  <c r="B4310" i="1"/>
  <c r="B4309" i="1"/>
  <c r="B4308" i="1"/>
  <c r="B4307" i="1"/>
  <c r="B4306" i="1"/>
  <c r="B4305" i="1"/>
  <c r="B4304" i="1"/>
  <c r="B4303" i="1"/>
  <c r="B4302" i="1"/>
  <c r="B4301" i="1"/>
  <c r="B4300" i="1"/>
  <c r="B4299" i="1"/>
  <c r="B4298" i="1"/>
  <c r="B4297" i="1"/>
  <c r="B4296" i="1"/>
  <c r="B4295" i="1"/>
  <c r="B4294" i="1"/>
  <c r="B4293" i="1"/>
  <c r="B4292" i="1"/>
  <c r="B4291" i="1"/>
  <c r="B4290" i="1"/>
  <c r="B4289" i="1"/>
  <c r="B4288" i="1"/>
  <c r="B4287" i="1"/>
  <c r="B4286" i="1"/>
  <c r="B4285" i="1"/>
  <c r="B4284" i="1"/>
  <c r="B4283" i="1"/>
  <c r="B4282" i="1"/>
  <c r="B4281" i="1"/>
  <c r="B4280" i="1"/>
  <c r="B4279" i="1"/>
  <c r="B4278" i="1"/>
  <c r="B4277" i="1"/>
  <c r="B4276" i="1"/>
  <c r="B4275" i="1"/>
  <c r="B4274" i="1"/>
  <c r="B4273" i="1"/>
  <c r="B4272" i="1"/>
  <c r="B4271" i="1"/>
  <c r="B4270" i="1"/>
  <c r="B4269" i="1"/>
  <c r="B4268" i="1"/>
  <c r="B4267" i="1"/>
  <c r="B4266" i="1"/>
  <c r="B4265" i="1"/>
  <c r="B4264" i="1"/>
  <c r="B4263" i="1"/>
  <c r="B4262" i="1"/>
  <c r="B4261" i="1"/>
  <c r="B4260" i="1"/>
  <c r="B4259" i="1"/>
  <c r="B4258" i="1"/>
  <c r="B4257" i="1"/>
  <c r="B4256" i="1"/>
  <c r="B4255" i="1"/>
  <c r="B4254" i="1"/>
  <c r="B4253" i="1"/>
  <c r="B4252" i="1"/>
  <c r="B4251" i="1"/>
  <c r="B4250" i="1"/>
  <c r="B4249" i="1"/>
  <c r="B4248" i="1"/>
  <c r="B4247" i="1"/>
  <c r="B4246" i="1"/>
  <c r="B4245" i="1"/>
  <c r="B4244" i="1"/>
  <c r="B4243" i="1"/>
  <c r="B4242" i="1"/>
  <c r="B4241" i="1"/>
  <c r="B4240" i="1"/>
  <c r="B4239" i="1"/>
  <c r="B4238" i="1"/>
  <c r="B4237" i="1"/>
  <c r="B4236" i="1"/>
  <c r="B4235" i="1"/>
  <c r="B4234" i="1"/>
  <c r="B4233" i="1"/>
  <c r="B4232" i="1"/>
  <c r="B4231" i="1"/>
  <c r="B4230" i="1"/>
  <c r="B4229" i="1"/>
  <c r="B4228" i="1"/>
  <c r="B4227" i="1"/>
  <c r="B4226" i="1"/>
  <c r="B4225" i="1"/>
  <c r="B4224" i="1"/>
  <c r="B4223" i="1"/>
  <c r="B4222" i="1"/>
  <c r="B4221" i="1"/>
  <c r="B4220" i="1"/>
  <c r="B4219" i="1"/>
  <c r="B4218" i="1"/>
  <c r="B4217" i="1"/>
  <c r="B4216" i="1"/>
  <c r="B4215" i="1"/>
  <c r="B4214" i="1"/>
  <c r="B4213" i="1"/>
  <c r="B4212" i="1"/>
  <c r="B4211" i="1"/>
  <c r="B4210" i="1"/>
  <c r="B4209" i="1"/>
  <c r="B4208" i="1"/>
  <c r="B4207" i="1"/>
  <c r="B4206" i="1"/>
  <c r="B4205" i="1"/>
  <c r="B4204" i="1"/>
  <c r="B4203" i="1"/>
  <c r="B4202" i="1"/>
  <c r="B4201" i="1"/>
  <c r="B4200" i="1"/>
  <c r="B4199" i="1"/>
  <c r="B4198" i="1"/>
  <c r="B4197" i="1"/>
  <c r="B4196" i="1"/>
  <c r="B4195" i="1"/>
  <c r="B4194" i="1"/>
  <c r="B4193" i="1"/>
  <c r="B4192" i="1"/>
  <c r="B4191" i="1"/>
  <c r="B4190" i="1"/>
  <c r="B4189" i="1"/>
  <c r="B4188" i="1"/>
  <c r="B4187" i="1"/>
  <c r="B4186" i="1"/>
  <c r="B4185" i="1"/>
  <c r="B4184" i="1"/>
  <c r="B4183" i="1"/>
  <c r="B4182" i="1"/>
  <c r="B4181" i="1"/>
  <c r="B4180" i="1"/>
  <c r="B4179" i="1"/>
  <c r="B4178" i="1"/>
  <c r="B4177" i="1"/>
  <c r="B4176" i="1"/>
  <c r="B4175" i="1"/>
  <c r="B4174" i="1"/>
  <c r="B4173" i="1"/>
  <c r="B4172" i="1"/>
  <c r="B4171" i="1"/>
  <c r="B4170" i="1"/>
  <c r="B4169" i="1"/>
  <c r="B4168" i="1"/>
  <c r="B4167" i="1"/>
  <c r="B4166" i="1"/>
  <c r="B4165" i="1"/>
  <c r="B4164" i="1"/>
  <c r="B4163" i="1"/>
  <c r="B4162" i="1"/>
  <c r="B4161" i="1"/>
  <c r="B4160" i="1"/>
  <c r="B4159" i="1"/>
  <c r="B4158" i="1"/>
  <c r="B4157" i="1"/>
  <c r="B4156" i="1"/>
  <c r="B4155" i="1"/>
  <c r="B4154" i="1"/>
  <c r="B4153" i="1"/>
  <c r="B4152" i="1"/>
  <c r="B4151" i="1"/>
  <c r="B4150" i="1"/>
  <c r="B4149" i="1"/>
  <c r="B4148" i="1"/>
  <c r="B4147" i="1"/>
  <c r="B4146" i="1"/>
  <c r="B4145" i="1"/>
  <c r="B4144" i="1"/>
  <c r="B4143" i="1"/>
  <c r="B4142" i="1"/>
  <c r="B4141" i="1"/>
  <c r="B4140" i="1"/>
  <c r="B4139" i="1"/>
  <c r="B4138" i="1"/>
  <c r="B4137" i="1"/>
  <c r="B4136" i="1"/>
  <c r="B4135" i="1"/>
  <c r="B4134" i="1"/>
  <c r="B4133" i="1"/>
  <c r="B4132" i="1"/>
  <c r="B4131" i="1"/>
  <c r="B4130" i="1"/>
  <c r="B4129" i="1"/>
  <c r="B4128" i="1"/>
  <c r="B4127" i="1"/>
  <c r="B4126" i="1"/>
  <c r="B4125" i="1"/>
  <c r="B4124" i="1"/>
  <c r="B4123" i="1"/>
  <c r="B4122" i="1"/>
  <c r="B4121" i="1"/>
  <c r="B4120" i="1"/>
  <c r="B4119" i="1"/>
  <c r="B4118" i="1"/>
  <c r="B4117" i="1"/>
  <c r="B4116" i="1"/>
  <c r="B4115" i="1"/>
  <c r="B4114" i="1"/>
  <c r="B4113" i="1"/>
  <c r="B4112" i="1"/>
  <c r="B4111" i="1"/>
  <c r="B4110" i="1"/>
  <c r="B4109" i="1"/>
  <c r="B4108" i="1"/>
  <c r="B4107" i="1"/>
  <c r="B4106" i="1"/>
  <c r="B4105" i="1"/>
  <c r="B4104" i="1"/>
  <c r="B4103" i="1"/>
  <c r="B4102" i="1"/>
  <c r="B4101" i="1"/>
  <c r="B4100" i="1"/>
  <c r="B4099" i="1"/>
  <c r="B4098" i="1"/>
  <c r="B4097" i="1"/>
  <c r="B4096" i="1"/>
  <c r="B4095" i="1"/>
  <c r="B4094" i="1"/>
  <c r="B4093" i="1"/>
  <c r="B4092" i="1"/>
  <c r="B4091" i="1"/>
  <c r="B4090" i="1"/>
  <c r="B4089" i="1"/>
  <c r="B4088" i="1"/>
  <c r="B4087" i="1"/>
  <c r="B4086" i="1"/>
  <c r="B4085" i="1"/>
  <c r="B4084" i="1"/>
  <c r="B4083" i="1"/>
  <c r="B4082" i="1"/>
  <c r="B4081" i="1"/>
  <c r="B4080" i="1"/>
  <c r="B4079" i="1"/>
  <c r="B4078" i="1"/>
  <c r="B4077" i="1"/>
  <c r="B4076" i="1"/>
  <c r="B4075" i="1"/>
  <c r="B4074" i="1"/>
  <c r="B4073" i="1"/>
  <c r="B4072" i="1"/>
  <c r="B4071" i="1"/>
  <c r="B4070" i="1"/>
  <c r="B4069" i="1"/>
  <c r="B4068" i="1"/>
  <c r="B4067" i="1"/>
  <c r="B4066" i="1"/>
  <c r="B4065" i="1"/>
  <c r="B4064" i="1"/>
  <c r="B4063" i="1"/>
  <c r="B4062" i="1"/>
  <c r="B4061" i="1"/>
  <c r="B4060" i="1"/>
  <c r="B4059" i="1"/>
  <c r="B4058" i="1"/>
  <c r="B4057" i="1"/>
  <c r="B4056" i="1"/>
  <c r="B4055" i="1"/>
  <c r="B4054" i="1"/>
  <c r="B4053" i="1"/>
  <c r="B4052" i="1"/>
  <c r="B4051" i="1"/>
  <c r="B4050" i="1"/>
  <c r="B4049" i="1"/>
  <c r="B4048" i="1"/>
  <c r="B4047" i="1"/>
  <c r="B4046" i="1"/>
  <c r="B4045" i="1"/>
  <c r="B4044" i="1"/>
  <c r="B4043" i="1"/>
  <c r="B4042" i="1"/>
  <c r="B4041" i="1"/>
  <c r="B4040" i="1"/>
  <c r="B4039" i="1"/>
  <c r="B4038" i="1"/>
  <c r="B4037" i="1"/>
  <c r="B4036" i="1"/>
  <c r="B4035" i="1"/>
  <c r="B4034" i="1"/>
  <c r="B4033" i="1"/>
  <c r="B4032" i="1"/>
  <c r="B4031" i="1"/>
  <c r="B4030" i="1"/>
  <c r="B4029" i="1"/>
  <c r="B4028" i="1"/>
  <c r="B4027" i="1"/>
  <c r="B4026" i="1"/>
  <c r="B4025" i="1"/>
  <c r="B4024" i="1"/>
  <c r="B4023" i="1"/>
  <c r="B4022" i="1"/>
  <c r="B4021" i="1"/>
  <c r="B4020" i="1"/>
  <c r="B4019" i="1"/>
  <c r="B4018" i="1"/>
  <c r="B4017" i="1"/>
  <c r="B4016" i="1"/>
  <c r="B4015" i="1"/>
  <c r="B4014" i="1"/>
  <c r="B4013" i="1"/>
  <c r="B4012" i="1"/>
  <c r="B4011" i="1"/>
  <c r="B4010" i="1"/>
  <c r="B4009" i="1"/>
  <c r="B4008" i="1"/>
  <c r="B4007" i="1"/>
  <c r="B4006" i="1"/>
  <c r="B4005" i="1"/>
  <c r="B4004" i="1"/>
  <c r="B4003" i="1"/>
  <c r="B4002" i="1"/>
  <c r="B4001" i="1"/>
  <c r="B4000" i="1"/>
  <c r="B3999" i="1"/>
  <c r="B3998" i="1"/>
  <c r="B3997" i="1"/>
  <c r="B3996" i="1"/>
  <c r="B3995" i="1"/>
  <c r="B3994" i="1"/>
  <c r="B3993" i="1"/>
  <c r="B3992" i="1"/>
  <c r="B3991" i="1"/>
  <c r="B3990" i="1"/>
  <c r="B3989" i="1"/>
  <c r="B3988" i="1"/>
  <c r="B3987" i="1"/>
  <c r="B3986" i="1"/>
  <c r="B3985" i="1"/>
  <c r="B3984" i="1"/>
  <c r="B3983" i="1"/>
  <c r="B3982" i="1"/>
  <c r="B3981" i="1"/>
  <c r="B3980" i="1"/>
  <c r="B3979" i="1"/>
  <c r="B3978" i="1"/>
  <c r="B3977" i="1"/>
  <c r="B3976" i="1"/>
  <c r="B3975" i="1"/>
  <c r="B3974" i="1"/>
  <c r="B3973" i="1"/>
  <c r="B3972" i="1"/>
  <c r="B3971" i="1"/>
  <c r="B3970" i="1"/>
  <c r="B3969" i="1"/>
  <c r="B3968" i="1"/>
  <c r="B3967" i="1"/>
  <c r="B3966" i="1"/>
  <c r="B3965" i="1"/>
  <c r="B3964" i="1"/>
  <c r="B3963" i="1"/>
  <c r="B3962" i="1"/>
  <c r="B3961" i="1"/>
  <c r="B3960" i="1"/>
  <c r="B3959" i="1"/>
  <c r="B3958" i="1"/>
  <c r="B3957" i="1"/>
  <c r="B3956" i="1"/>
  <c r="B3955" i="1"/>
  <c r="B3954" i="1"/>
  <c r="B3953" i="1"/>
  <c r="B3952" i="1"/>
  <c r="B3951" i="1"/>
  <c r="B3950" i="1"/>
  <c r="B3949" i="1"/>
  <c r="B3948" i="1"/>
  <c r="B3947" i="1"/>
  <c r="B3946" i="1"/>
  <c r="B3945" i="1"/>
  <c r="B3944" i="1"/>
  <c r="B3943" i="1"/>
  <c r="B3942" i="1"/>
  <c r="B3941" i="1"/>
  <c r="B3940" i="1"/>
  <c r="B3939" i="1"/>
  <c r="B3938" i="1"/>
  <c r="B3937" i="1"/>
  <c r="B3936" i="1"/>
  <c r="B3935" i="1"/>
  <c r="B3934" i="1"/>
  <c r="B3933" i="1"/>
  <c r="B3932" i="1"/>
  <c r="B3931" i="1"/>
  <c r="B3930" i="1"/>
  <c r="B3929" i="1"/>
  <c r="B3928" i="1"/>
  <c r="B3927" i="1"/>
  <c r="B3926" i="1"/>
  <c r="B3925" i="1"/>
  <c r="B3924" i="1"/>
  <c r="B3923" i="1"/>
  <c r="B3922" i="1"/>
  <c r="B3921" i="1"/>
  <c r="B3920" i="1"/>
  <c r="B3919" i="1"/>
  <c r="B3918" i="1"/>
  <c r="B3917" i="1"/>
  <c r="B3916" i="1"/>
  <c r="B3915" i="1"/>
  <c r="B3914" i="1"/>
  <c r="B3913" i="1"/>
  <c r="B3912" i="1"/>
  <c r="B3911" i="1"/>
  <c r="B3910" i="1"/>
  <c r="B3909" i="1"/>
  <c r="B3908" i="1"/>
  <c r="B3907" i="1"/>
  <c r="B3906" i="1"/>
  <c r="B3905" i="1"/>
  <c r="B3904" i="1"/>
  <c r="B3903" i="1"/>
  <c r="B3902" i="1"/>
  <c r="B3901" i="1"/>
  <c r="B3900" i="1"/>
  <c r="B3899" i="1"/>
  <c r="B3898" i="1"/>
  <c r="B3897" i="1"/>
  <c r="B3896" i="1"/>
  <c r="B3895" i="1"/>
  <c r="B3894" i="1"/>
  <c r="B3893" i="1"/>
  <c r="B3892" i="1"/>
  <c r="B3891" i="1"/>
  <c r="B3890" i="1"/>
  <c r="B3889" i="1"/>
  <c r="B3888" i="1"/>
  <c r="B3887" i="1"/>
  <c r="B3886" i="1"/>
  <c r="B3885" i="1"/>
  <c r="B3884" i="1"/>
  <c r="B3883" i="1"/>
  <c r="B3882" i="1"/>
  <c r="B3881" i="1"/>
  <c r="B3880" i="1"/>
  <c r="B3879" i="1"/>
  <c r="B3878" i="1"/>
  <c r="B3877" i="1"/>
  <c r="B3876" i="1"/>
  <c r="B3875" i="1"/>
  <c r="B3874" i="1"/>
  <c r="B3873" i="1"/>
  <c r="B3872" i="1"/>
  <c r="B3871" i="1"/>
  <c r="B3870" i="1"/>
  <c r="B3869" i="1"/>
  <c r="B3868" i="1"/>
  <c r="B3867" i="1"/>
  <c r="B3866" i="1"/>
  <c r="B3865" i="1"/>
  <c r="B3864" i="1"/>
  <c r="B3863" i="1"/>
  <c r="B3862" i="1"/>
  <c r="B3861" i="1"/>
  <c r="B3860" i="1"/>
  <c r="B3859" i="1"/>
  <c r="B3858" i="1"/>
  <c r="B3857" i="1"/>
  <c r="B3856" i="1"/>
  <c r="B3855" i="1"/>
  <c r="B3854" i="1"/>
  <c r="B3853" i="1"/>
  <c r="B3852" i="1"/>
  <c r="B3851" i="1"/>
  <c r="B3850" i="1"/>
  <c r="B3849" i="1"/>
  <c r="B3848" i="1"/>
  <c r="B3847" i="1"/>
  <c r="B3846" i="1"/>
  <c r="B3845" i="1"/>
  <c r="B3844" i="1"/>
  <c r="B3843" i="1"/>
  <c r="B3842" i="1"/>
  <c r="B3841" i="1"/>
  <c r="B3840" i="1"/>
  <c r="B3839" i="1"/>
  <c r="B3838" i="1"/>
  <c r="B3837" i="1"/>
  <c r="B3836" i="1"/>
  <c r="B3835" i="1"/>
  <c r="B3834" i="1"/>
  <c r="B3833" i="1"/>
  <c r="B3832" i="1"/>
  <c r="B3831" i="1"/>
  <c r="B3830" i="1"/>
  <c r="B3829" i="1"/>
  <c r="B3828" i="1"/>
  <c r="B3827" i="1"/>
  <c r="B3826" i="1"/>
  <c r="B3825" i="1"/>
  <c r="B3824" i="1"/>
  <c r="B3823" i="1"/>
  <c r="B3822" i="1"/>
  <c r="B3821" i="1"/>
  <c r="B3820" i="1"/>
  <c r="B3819" i="1"/>
  <c r="B3818" i="1"/>
  <c r="B3817" i="1"/>
  <c r="B3816" i="1"/>
  <c r="B3815" i="1"/>
  <c r="B3814" i="1"/>
  <c r="B3813" i="1"/>
  <c r="B3812" i="1"/>
  <c r="B3811" i="1"/>
  <c r="B3810" i="1"/>
  <c r="B3809" i="1"/>
  <c r="B3808" i="1"/>
  <c r="B3807" i="1"/>
  <c r="B3806" i="1"/>
  <c r="B3805" i="1"/>
  <c r="B3804" i="1"/>
  <c r="B3803" i="1"/>
  <c r="B3802" i="1"/>
  <c r="B3801" i="1"/>
  <c r="B3800" i="1"/>
  <c r="B3799" i="1"/>
  <c r="B3798" i="1"/>
  <c r="B3797" i="1"/>
  <c r="B3796" i="1"/>
  <c r="B3795" i="1"/>
  <c r="B3794" i="1"/>
  <c r="B3793" i="1"/>
  <c r="B3792" i="1"/>
  <c r="B3791" i="1"/>
  <c r="B3790" i="1"/>
  <c r="B3789" i="1"/>
  <c r="B3788" i="1"/>
  <c r="B3787" i="1"/>
  <c r="B3786" i="1"/>
  <c r="B3785" i="1"/>
  <c r="B3784" i="1"/>
  <c r="B3783" i="1"/>
  <c r="B3782" i="1"/>
  <c r="B3781" i="1"/>
  <c r="B3780" i="1"/>
  <c r="B3779" i="1"/>
  <c r="B3778" i="1"/>
  <c r="B3777" i="1"/>
  <c r="B3776" i="1"/>
  <c r="B3775" i="1"/>
  <c r="B3774" i="1"/>
  <c r="B3773" i="1"/>
  <c r="B3772" i="1"/>
  <c r="B3771" i="1"/>
  <c r="B3770" i="1"/>
  <c r="B3769" i="1"/>
  <c r="B3768" i="1"/>
  <c r="B3767" i="1"/>
  <c r="B3766" i="1"/>
  <c r="B3765" i="1"/>
  <c r="B3764" i="1"/>
  <c r="B3763" i="1"/>
  <c r="B3762" i="1"/>
  <c r="B3761" i="1"/>
  <c r="B3760" i="1"/>
  <c r="B3759" i="1"/>
  <c r="B3758" i="1"/>
  <c r="B3757" i="1"/>
  <c r="B3756" i="1"/>
  <c r="B3755" i="1"/>
  <c r="B3754" i="1"/>
  <c r="B3753" i="1"/>
  <c r="B3752" i="1"/>
  <c r="B3751" i="1"/>
  <c r="B3750" i="1"/>
  <c r="B3749" i="1"/>
  <c r="B3748" i="1"/>
  <c r="B3747" i="1"/>
  <c r="B3746" i="1"/>
  <c r="B3745" i="1"/>
  <c r="B3744" i="1"/>
  <c r="B3743" i="1"/>
  <c r="B3742" i="1"/>
  <c r="B3741" i="1"/>
  <c r="B3740" i="1"/>
  <c r="B3739" i="1"/>
  <c r="B3738" i="1"/>
  <c r="B3737" i="1"/>
  <c r="B3736" i="1"/>
  <c r="B3735" i="1"/>
  <c r="B3734" i="1"/>
  <c r="B3733" i="1"/>
  <c r="B3732" i="1"/>
  <c r="B3731" i="1"/>
  <c r="B3730" i="1"/>
  <c r="B3729" i="1"/>
  <c r="B3728" i="1"/>
  <c r="B3727" i="1"/>
  <c r="B3726" i="1"/>
  <c r="B3725" i="1"/>
  <c r="B3724" i="1"/>
  <c r="B3723" i="1"/>
  <c r="B3722" i="1"/>
  <c r="B3721" i="1"/>
  <c r="B3720" i="1"/>
  <c r="B3719" i="1"/>
  <c r="B3718" i="1"/>
  <c r="B3717" i="1"/>
  <c r="B3716" i="1"/>
  <c r="B3715" i="1"/>
  <c r="B3714" i="1"/>
  <c r="B3713" i="1"/>
  <c r="B3712" i="1"/>
  <c r="B3711" i="1"/>
  <c r="B3710" i="1"/>
  <c r="B3709" i="1"/>
  <c r="B3708" i="1"/>
  <c r="B3707" i="1"/>
  <c r="B3706" i="1"/>
  <c r="B3705" i="1"/>
  <c r="B3704" i="1"/>
  <c r="B3703" i="1"/>
  <c r="B3702" i="1"/>
  <c r="B3701" i="1"/>
  <c r="B3700" i="1"/>
  <c r="B3699" i="1"/>
  <c r="B3698" i="1"/>
  <c r="B3697" i="1"/>
  <c r="B3696" i="1"/>
  <c r="B3695" i="1"/>
  <c r="B3694" i="1"/>
  <c r="B3693" i="1"/>
  <c r="B3692" i="1"/>
  <c r="B3691" i="1"/>
  <c r="B3690" i="1"/>
  <c r="B3689" i="1"/>
  <c r="B3688" i="1"/>
  <c r="B3687" i="1"/>
  <c r="B3686" i="1"/>
  <c r="B3685" i="1"/>
  <c r="B3684" i="1"/>
  <c r="B3683" i="1"/>
  <c r="B3682" i="1"/>
  <c r="B3681" i="1"/>
  <c r="B3680" i="1"/>
  <c r="B3679" i="1"/>
  <c r="B3678" i="1"/>
  <c r="B3677" i="1"/>
  <c r="B3676" i="1"/>
  <c r="B3675" i="1"/>
  <c r="B3674" i="1"/>
  <c r="B3673" i="1"/>
  <c r="B3672" i="1"/>
  <c r="B3671" i="1"/>
  <c r="B3670" i="1"/>
  <c r="B3669" i="1"/>
  <c r="B3668" i="1"/>
  <c r="B3667" i="1"/>
  <c r="B3666" i="1"/>
  <c r="B3665" i="1"/>
  <c r="B3664" i="1"/>
  <c r="B3663" i="1"/>
  <c r="B3662" i="1"/>
  <c r="B3661" i="1"/>
  <c r="B3660" i="1"/>
  <c r="B3659" i="1"/>
  <c r="B3658" i="1"/>
  <c r="B3657" i="1"/>
  <c r="B3656" i="1"/>
  <c r="B3655" i="1"/>
  <c r="B3654" i="1"/>
  <c r="B3653" i="1"/>
  <c r="B3652" i="1"/>
  <c r="B3651" i="1"/>
  <c r="B3650" i="1"/>
  <c r="B3649" i="1"/>
  <c r="B3648" i="1"/>
  <c r="B3647" i="1"/>
  <c r="B3646" i="1"/>
  <c r="B3645" i="1"/>
  <c r="B3644" i="1"/>
  <c r="B3643" i="1"/>
  <c r="B3642" i="1"/>
  <c r="B3641" i="1"/>
  <c r="B3640" i="1"/>
  <c r="B3639" i="1"/>
  <c r="B3638" i="1"/>
  <c r="B3637" i="1"/>
  <c r="B3636" i="1"/>
  <c r="B3635" i="1"/>
  <c r="B3634" i="1"/>
  <c r="B3633" i="1"/>
  <c r="B3632" i="1"/>
  <c r="B3631" i="1"/>
  <c r="B3630" i="1"/>
  <c r="B3629" i="1"/>
  <c r="B3628" i="1"/>
  <c r="B3627" i="1"/>
  <c r="B3626" i="1"/>
  <c r="B3625" i="1"/>
  <c r="B3624" i="1"/>
  <c r="B3623" i="1"/>
  <c r="B3622" i="1"/>
  <c r="B3621" i="1"/>
  <c r="B3620" i="1"/>
  <c r="B3619" i="1"/>
  <c r="B3618" i="1"/>
  <c r="B3617" i="1"/>
  <c r="B3616" i="1"/>
  <c r="B3615" i="1"/>
  <c r="B3614" i="1"/>
  <c r="B3613" i="1"/>
  <c r="B3612" i="1"/>
  <c r="B3611" i="1"/>
  <c r="B3610" i="1"/>
  <c r="B3609" i="1"/>
  <c r="B3608" i="1"/>
  <c r="B3607" i="1"/>
  <c r="B3606" i="1"/>
  <c r="B3605" i="1"/>
  <c r="B3604" i="1"/>
  <c r="B3603" i="1"/>
  <c r="B3602" i="1"/>
  <c r="B3601" i="1"/>
  <c r="B3600" i="1"/>
  <c r="B3599" i="1"/>
  <c r="B3598" i="1"/>
  <c r="B3597" i="1"/>
  <c r="B3596" i="1"/>
  <c r="B3595" i="1"/>
  <c r="B3594" i="1"/>
  <c r="B3593" i="1"/>
  <c r="B3592" i="1"/>
  <c r="B3591" i="1"/>
  <c r="B3590" i="1"/>
  <c r="B3589" i="1"/>
  <c r="B3588" i="1"/>
  <c r="B3587" i="1"/>
  <c r="B3586" i="1"/>
  <c r="B3585" i="1"/>
  <c r="B3584" i="1"/>
  <c r="B3583" i="1"/>
  <c r="B3582" i="1"/>
  <c r="B3581" i="1"/>
  <c r="B3580" i="1"/>
  <c r="B3579" i="1"/>
  <c r="B3578" i="1"/>
  <c r="B3577" i="1"/>
  <c r="B3576" i="1"/>
  <c r="B3575" i="1"/>
  <c r="B3574" i="1"/>
  <c r="B3573" i="1"/>
  <c r="B3572" i="1"/>
  <c r="B3571" i="1"/>
  <c r="B3570" i="1"/>
  <c r="B3569" i="1"/>
  <c r="B3568" i="1"/>
  <c r="B3567" i="1"/>
  <c r="B3566" i="1"/>
  <c r="B3565" i="1"/>
  <c r="B3564" i="1"/>
  <c r="B3563" i="1"/>
  <c r="B3562" i="1"/>
  <c r="B3561" i="1"/>
  <c r="B3560" i="1"/>
  <c r="B3559" i="1"/>
  <c r="B3558" i="1"/>
  <c r="B3557" i="1"/>
  <c r="B3556" i="1"/>
  <c r="B3555" i="1"/>
  <c r="B3554" i="1"/>
  <c r="B3553" i="1"/>
  <c r="B3552" i="1"/>
  <c r="B3551" i="1"/>
  <c r="B3550" i="1"/>
  <c r="B3549" i="1"/>
  <c r="B3548" i="1"/>
  <c r="B3547" i="1"/>
  <c r="B3546" i="1"/>
  <c r="B3545" i="1"/>
  <c r="B3544" i="1"/>
  <c r="B3543" i="1"/>
  <c r="B3542" i="1"/>
  <c r="B3541" i="1"/>
  <c r="B3540" i="1"/>
  <c r="B3539" i="1"/>
  <c r="B3538" i="1"/>
  <c r="B3537" i="1"/>
  <c r="B3536" i="1"/>
  <c r="B3535" i="1"/>
  <c r="B3534" i="1"/>
  <c r="B3533" i="1"/>
  <c r="B3532" i="1"/>
  <c r="B3531" i="1"/>
  <c r="B3530" i="1"/>
  <c r="B3529" i="1"/>
  <c r="B3528" i="1"/>
  <c r="B3527" i="1"/>
  <c r="B3526" i="1"/>
  <c r="B3525" i="1"/>
  <c r="B3524" i="1"/>
  <c r="B3523" i="1"/>
  <c r="B3522" i="1"/>
  <c r="B3521" i="1"/>
  <c r="B3520" i="1"/>
  <c r="B3519" i="1"/>
  <c r="B3518" i="1"/>
  <c r="B3517" i="1"/>
  <c r="B3516" i="1"/>
  <c r="B3515" i="1"/>
  <c r="B3514" i="1"/>
  <c r="B3513" i="1"/>
  <c r="B3512" i="1"/>
  <c r="B3511" i="1"/>
  <c r="B3510" i="1"/>
  <c r="B3509" i="1"/>
  <c r="B3508" i="1"/>
  <c r="B3507" i="1"/>
  <c r="B3506" i="1"/>
  <c r="B3505" i="1"/>
  <c r="B3504" i="1"/>
  <c r="B3503" i="1"/>
  <c r="B3502" i="1"/>
  <c r="B3501" i="1"/>
  <c r="B3500" i="1"/>
  <c r="B3499" i="1"/>
  <c r="B3498" i="1"/>
  <c r="B3497" i="1"/>
  <c r="B3496" i="1"/>
  <c r="B3495" i="1"/>
  <c r="B3494" i="1"/>
  <c r="B3493" i="1"/>
  <c r="B3492" i="1"/>
  <c r="B3491" i="1"/>
  <c r="B3490" i="1"/>
  <c r="B3489" i="1"/>
  <c r="B3488" i="1"/>
  <c r="B3487" i="1"/>
  <c r="B3486" i="1"/>
  <c r="B3485" i="1"/>
  <c r="B3484" i="1"/>
  <c r="B3483" i="1"/>
  <c r="B3482" i="1"/>
  <c r="B3481" i="1"/>
  <c r="B3480" i="1"/>
  <c r="B3479" i="1"/>
  <c r="B3478" i="1"/>
  <c r="B3477" i="1"/>
  <c r="B3476" i="1"/>
  <c r="B3475" i="1"/>
  <c r="B3474" i="1"/>
  <c r="B3473" i="1"/>
  <c r="B3472" i="1"/>
  <c r="B3471" i="1"/>
  <c r="B3470" i="1"/>
  <c r="B3469" i="1"/>
  <c r="B3468" i="1"/>
  <c r="B3467" i="1"/>
  <c r="B3466" i="1"/>
  <c r="B3465" i="1"/>
  <c r="B3464" i="1"/>
  <c r="B3463" i="1"/>
  <c r="B3462" i="1"/>
  <c r="B3461" i="1"/>
  <c r="B3460" i="1"/>
  <c r="B3459" i="1"/>
  <c r="B3458" i="1"/>
  <c r="B3457" i="1"/>
  <c r="B3456" i="1"/>
  <c r="B3455" i="1"/>
  <c r="B3454" i="1"/>
  <c r="B3453" i="1"/>
  <c r="B3452" i="1"/>
  <c r="B3451" i="1"/>
  <c r="B3450" i="1"/>
  <c r="B3449" i="1"/>
  <c r="B3448" i="1"/>
  <c r="B3447" i="1"/>
  <c r="B3446" i="1"/>
  <c r="B3445" i="1"/>
  <c r="B3444" i="1"/>
  <c r="B3443" i="1"/>
  <c r="B3442" i="1"/>
  <c r="B3441" i="1"/>
  <c r="B3440" i="1"/>
  <c r="B3439" i="1"/>
  <c r="B3438" i="1"/>
  <c r="B3437" i="1"/>
  <c r="B3436" i="1"/>
  <c r="B3435" i="1"/>
  <c r="B3434" i="1"/>
  <c r="B3433" i="1"/>
  <c r="B3432" i="1"/>
  <c r="B3431" i="1"/>
  <c r="B3430" i="1"/>
  <c r="B3429" i="1"/>
  <c r="B3428" i="1"/>
  <c r="B3427" i="1"/>
  <c r="B3426" i="1"/>
  <c r="B3425" i="1"/>
  <c r="B3424" i="1"/>
  <c r="B3423" i="1"/>
  <c r="B3422" i="1"/>
  <c r="B3421" i="1"/>
  <c r="B3420" i="1"/>
  <c r="B3419" i="1"/>
  <c r="B3418" i="1"/>
  <c r="B3417" i="1"/>
  <c r="B3416" i="1"/>
  <c r="B3415" i="1"/>
  <c r="B3414" i="1"/>
  <c r="B3413" i="1"/>
  <c r="B3412" i="1"/>
  <c r="B3411" i="1"/>
  <c r="B3410" i="1"/>
  <c r="B3409" i="1"/>
  <c r="B3408" i="1"/>
  <c r="B3407" i="1"/>
  <c r="B3406" i="1"/>
  <c r="B3405" i="1"/>
  <c r="B3404" i="1"/>
  <c r="B3403" i="1"/>
  <c r="B3402" i="1"/>
  <c r="B3401" i="1"/>
  <c r="B3400" i="1"/>
  <c r="B3399" i="1"/>
  <c r="B3398" i="1"/>
  <c r="B3397" i="1"/>
  <c r="B3396" i="1"/>
  <c r="B3395" i="1"/>
  <c r="B3394" i="1"/>
  <c r="B3393" i="1"/>
  <c r="B3392" i="1"/>
  <c r="B3391" i="1"/>
  <c r="B3390" i="1"/>
  <c r="B3389" i="1"/>
  <c r="B3388" i="1"/>
  <c r="B3387" i="1"/>
  <c r="B3386" i="1"/>
  <c r="B3385" i="1"/>
  <c r="B3384" i="1"/>
  <c r="B3383" i="1"/>
  <c r="B3382" i="1"/>
  <c r="B3381" i="1"/>
  <c r="B3380" i="1"/>
  <c r="B3379" i="1"/>
  <c r="B3378" i="1"/>
  <c r="B3377" i="1"/>
  <c r="B3376" i="1"/>
  <c r="B3375" i="1"/>
  <c r="B3374" i="1"/>
  <c r="B3373" i="1"/>
  <c r="B3372" i="1"/>
  <c r="B3371" i="1"/>
  <c r="B3370" i="1"/>
  <c r="B3369" i="1"/>
  <c r="B3368" i="1"/>
  <c r="B3367" i="1"/>
  <c r="B3366" i="1"/>
  <c r="B3365" i="1"/>
  <c r="B3364" i="1"/>
  <c r="B3363" i="1"/>
  <c r="B3362" i="1"/>
  <c r="B3361" i="1"/>
  <c r="B3360" i="1"/>
  <c r="B3359" i="1"/>
  <c r="B3358" i="1"/>
  <c r="B3357" i="1"/>
  <c r="B3356" i="1"/>
  <c r="B3355" i="1"/>
  <c r="B3354" i="1"/>
  <c r="B3353" i="1"/>
  <c r="B3352" i="1"/>
  <c r="B3351" i="1"/>
  <c r="B3350" i="1"/>
  <c r="B3349" i="1"/>
  <c r="B3348" i="1"/>
  <c r="B3347" i="1"/>
  <c r="B3346" i="1"/>
  <c r="B3345" i="1"/>
  <c r="B3344" i="1"/>
  <c r="B3343" i="1"/>
  <c r="B3342" i="1"/>
  <c r="B3341" i="1"/>
  <c r="B3340" i="1"/>
  <c r="B3339" i="1"/>
  <c r="B3338" i="1"/>
  <c r="B3337" i="1"/>
  <c r="B3336" i="1"/>
  <c r="B3335" i="1"/>
  <c r="B3334" i="1"/>
  <c r="B3333" i="1"/>
  <c r="B3332" i="1"/>
  <c r="B3331" i="1"/>
  <c r="B3330" i="1"/>
  <c r="B3329" i="1"/>
  <c r="B3328" i="1"/>
  <c r="B3327" i="1"/>
  <c r="B3326" i="1"/>
  <c r="B3325" i="1"/>
  <c r="B3324" i="1"/>
  <c r="B3323" i="1"/>
  <c r="B3322" i="1"/>
  <c r="B3321" i="1"/>
  <c r="B3320" i="1"/>
  <c r="B3319" i="1"/>
  <c r="B3318" i="1"/>
  <c r="B3317" i="1"/>
  <c r="B3316" i="1"/>
  <c r="B3315" i="1"/>
  <c r="B3314" i="1"/>
  <c r="B3313" i="1"/>
  <c r="B3312" i="1"/>
  <c r="B3311" i="1"/>
  <c r="B3310" i="1"/>
  <c r="B3309" i="1"/>
  <c r="B3308" i="1"/>
  <c r="B3307" i="1"/>
  <c r="B3306" i="1"/>
  <c r="B3305" i="1"/>
  <c r="B3304" i="1"/>
  <c r="B3303" i="1"/>
  <c r="B3302" i="1"/>
  <c r="B3301" i="1"/>
  <c r="B3300" i="1"/>
  <c r="B3299" i="1"/>
  <c r="B3298" i="1"/>
  <c r="B3297" i="1"/>
  <c r="B3296" i="1"/>
  <c r="B3295" i="1"/>
  <c r="B3294" i="1"/>
  <c r="B3293" i="1"/>
  <c r="B3292" i="1"/>
  <c r="B3291" i="1"/>
  <c r="B3290" i="1"/>
  <c r="B3289" i="1"/>
  <c r="B3288" i="1"/>
  <c r="B3287" i="1"/>
  <c r="B3286" i="1"/>
  <c r="B3285" i="1"/>
  <c r="B3284" i="1"/>
  <c r="B3283" i="1"/>
  <c r="B3282" i="1"/>
  <c r="B3281" i="1"/>
  <c r="B3280" i="1"/>
  <c r="B3279" i="1"/>
  <c r="B3278" i="1"/>
  <c r="B3277" i="1"/>
  <c r="B3276" i="1"/>
  <c r="B3275" i="1"/>
  <c r="B3274" i="1"/>
  <c r="B3273" i="1"/>
  <c r="B3272" i="1"/>
  <c r="B3271" i="1"/>
  <c r="B3270" i="1"/>
  <c r="B3269" i="1"/>
  <c r="B3268" i="1"/>
  <c r="B3267" i="1"/>
  <c r="B3266" i="1"/>
  <c r="B3265" i="1"/>
  <c r="B3264" i="1"/>
  <c r="B3263" i="1"/>
  <c r="B3262" i="1"/>
  <c r="B3261" i="1"/>
  <c r="B3260" i="1"/>
  <c r="B3259" i="1"/>
  <c r="B3258" i="1"/>
  <c r="B3257" i="1"/>
  <c r="B3256" i="1"/>
  <c r="B3255" i="1"/>
  <c r="B3254" i="1"/>
  <c r="B3253" i="1"/>
  <c r="B3252" i="1"/>
  <c r="B3251" i="1"/>
  <c r="B3250" i="1"/>
  <c r="B3249" i="1"/>
  <c r="B3248" i="1"/>
  <c r="B3247" i="1"/>
  <c r="B3246" i="1"/>
  <c r="B3245" i="1"/>
  <c r="B3244" i="1"/>
  <c r="B3243" i="1"/>
  <c r="B3242" i="1"/>
  <c r="B3241" i="1"/>
  <c r="B3240" i="1"/>
  <c r="B3239" i="1"/>
  <c r="B3238" i="1"/>
  <c r="B3237" i="1"/>
  <c r="B3236" i="1"/>
  <c r="B3235" i="1"/>
  <c r="B3234" i="1"/>
  <c r="B3233" i="1"/>
  <c r="B3232" i="1"/>
  <c r="B3231" i="1"/>
  <c r="B3230" i="1"/>
  <c r="B3229" i="1"/>
  <c r="B3228" i="1"/>
  <c r="B3227" i="1"/>
  <c r="B3226" i="1"/>
  <c r="B3225" i="1"/>
  <c r="B3224" i="1"/>
  <c r="B3223" i="1"/>
  <c r="B3222" i="1"/>
  <c r="B3221" i="1"/>
  <c r="B3220" i="1"/>
  <c r="B3219" i="1"/>
  <c r="B3218" i="1"/>
  <c r="B3217" i="1"/>
  <c r="B3216" i="1"/>
  <c r="B3215" i="1"/>
  <c r="B3214" i="1"/>
  <c r="B3213" i="1"/>
  <c r="B3212" i="1"/>
  <c r="B3211" i="1"/>
  <c r="B3210" i="1"/>
  <c r="B3209" i="1"/>
  <c r="B3208" i="1"/>
  <c r="B3207" i="1"/>
  <c r="B3206" i="1"/>
  <c r="B3205" i="1"/>
  <c r="B3204" i="1"/>
  <c r="B3203" i="1"/>
  <c r="B3202" i="1"/>
  <c r="B3201" i="1"/>
  <c r="B3200" i="1"/>
  <c r="B3199" i="1"/>
  <c r="B3198" i="1"/>
  <c r="B3197" i="1"/>
  <c r="B3196" i="1"/>
  <c r="B3195" i="1"/>
  <c r="B3194" i="1"/>
  <c r="B3193" i="1"/>
  <c r="B3192" i="1"/>
  <c r="B3191" i="1"/>
  <c r="B3190" i="1"/>
  <c r="B3189" i="1"/>
  <c r="B3188" i="1"/>
  <c r="B3187" i="1"/>
  <c r="B3186" i="1"/>
  <c r="B3185" i="1"/>
  <c r="B3184" i="1"/>
  <c r="B3183" i="1"/>
  <c r="B3182" i="1"/>
  <c r="B3181" i="1"/>
  <c r="B3180" i="1"/>
  <c r="B3179" i="1"/>
  <c r="B3178" i="1"/>
  <c r="B3177" i="1"/>
  <c r="B3176" i="1"/>
  <c r="B3175" i="1"/>
  <c r="B3174" i="1"/>
  <c r="B3173" i="1"/>
  <c r="B3172" i="1"/>
  <c r="B3171" i="1"/>
  <c r="B3170" i="1"/>
  <c r="B3169" i="1"/>
  <c r="B3168" i="1"/>
  <c r="B3167" i="1"/>
  <c r="B3166" i="1"/>
  <c r="B3165" i="1"/>
  <c r="B3164" i="1"/>
  <c r="B3163" i="1"/>
  <c r="B3162" i="1"/>
  <c r="B3161" i="1"/>
  <c r="B3160" i="1"/>
  <c r="B3159" i="1"/>
  <c r="B3158" i="1"/>
  <c r="B3157" i="1"/>
  <c r="B3156" i="1"/>
  <c r="B3155" i="1"/>
  <c r="B3154" i="1"/>
  <c r="B3153" i="1"/>
  <c r="B3152" i="1"/>
  <c r="B3151" i="1"/>
  <c r="B3150" i="1"/>
  <c r="B3149" i="1"/>
  <c r="B3148" i="1"/>
  <c r="B3147" i="1"/>
  <c r="B3146" i="1"/>
  <c r="B3145" i="1"/>
  <c r="B3144" i="1"/>
  <c r="B3143" i="1"/>
  <c r="B3142" i="1"/>
  <c r="B3141" i="1"/>
  <c r="B3140" i="1"/>
  <c r="B3139" i="1"/>
  <c r="B3138" i="1"/>
  <c r="B3137" i="1"/>
  <c r="B3136" i="1"/>
  <c r="B3135" i="1"/>
  <c r="B3134" i="1"/>
  <c r="B3133" i="1"/>
  <c r="B3132" i="1"/>
  <c r="B3131" i="1"/>
  <c r="B3130" i="1"/>
  <c r="B3129" i="1"/>
  <c r="B3128" i="1"/>
  <c r="B3127" i="1"/>
  <c r="B3126" i="1"/>
  <c r="B3125" i="1"/>
  <c r="B3124" i="1"/>
  <c r="B3123" i="1"/>
  <c r="B3122" i="1"/>
  <c r="B3121" i="1"/>
  <c r="B3120" i="1"/>
  <c r="B3119" i="1"/>
  <c r="B3118" i="1"/>
  <c r="B3117" i="1"/>
  <c r="B3116" i="1"/>
  <c r="B3115" i="1"/>
  <c r="B3114" i="1"/>
  <c r="B3113" i="1"/>
  <c r="B3112" i="1"/>
  <c r="B3111" i="1"/>
  <c r="B3110" i="1"/>
  <c r="B3109" i="1"/>
  <c r="B3108" i="1"/>
  <c r="B3107" i="1"/>
  <c r="B3106" i="1"/>
  <c r="B3105" i="1"/>
  <c r="B3104" i="1"/>
  <c r="B3103" i="1"/>
  <c r="B3102" i="1"/>
  <c r="B3101" i="1"/>
  <c r="B3100" i="1"/>
  <c r="B3099" i="1"/>
  <c r="B3098" i="1"/>
  <c r="B3097" i="1"/>
  <c r="B3096" i="1"/>
  <c r="B3095" i="1"/>
  <c r="B3094" i="1"/>
  <c r="B3093" i="1"/>
  <c r="B3092" i="1"/>
  <c r="B3091" i="1"/>
  <c r="B3090" i="1"/>
  <c r="B3089" i="1"/>
  <c r="B3088" i="1"/>
  <c r="B3087" i="1"/>
  <c r="B3086" i="1"/>
  <c r="B3085" i="1"/>
  <c r="B3084" i="1"/>
  <c r="B3083" i="1"/>
  <c r="B3082" i="1"/>
  <c r="B3081" i="1"/>
  <c r="B3080" i="1"/>
  <c r="B3079" i="1"/>
  <c r="B3078" i="1"/>
  <c r="B3077" i="1"/>
  <c r="B3076" i="1"/>
  <c r="B3075" i="1"/>
  <c r="B3074" i="1"/>
  <c r="B3073" i="1"/>
  <c r="B3072" i="1"/>
  <c r="B3071" i="1"/>
  <c r="B3070" i="1"/>
  <c r="B3069" i="1"/>
  <c r="B3068" i="1"/>
  <c r="B3067" i="1"/>
  <c r="B3066" i="1"/>
  <c r="B3065" i="1"/>
  <c r="B3064" i="1"/>
  <c r="B3063" i="1"/>
  <c r="B3062" i="1"/>
  <c r="B3061" i="1"/>
  <c r="B3060" i="1"/>
  <c r="B3059" i="1"/>
  <c r="B3058" i="1"/>
  <c r="B3057" i="1"/>
  <c r="B3056" i="1"/>
  <c r="B3055" i="1"/>
  <c r="B3054" i="1"/>
  <c r="B3053" i="1"/>
  <c r="B3052" i="1"/>
  <c r="B3051" i="1"/>
  <c r="B3050" i="1"/>
  <c r="B3049" i="1"/>
  <c r="B3048" i="1"/>
  <c r="B3047" i="1"/>
  <c r="B3046" i="1"/>
  <c r="B3045" i="1"/>
  <c r="B3044" i="1"/>
  <c r="B3043" i="1"/>
  <c r="B3042" i="1"/>
  <c r="B3041" i="1"/>
  <c r="B3040" i="1"/>
  <c r="B3039" i="1"/>
  <c r="B3038" i="1"/>
  <c r="B3037" i="1"/>
  <c r="B3036" i="1"/>
  <c r="B3035" i="1"/>
  <c r="B3034" i="1"/>
  <c r="B3033" i="1"/>
  <c r="B3032" i="1"/>
  <c r="B3031" i="1"/>
  <c r="B3030" i="1"/>
  <c r="B3029" i="1"/>
  <c r="B3028" i="1"/>
  <c r="B3027" i="1"/>
  <c r="B3026" i="1"/>
  <c r="B3025" i="1"/>
  <c r="B3024" i="1"/>
  <c r="B3023" i="1"/>
  <c r="B3022" i="1"/>
  <c r="B3021" i="1"/>
  <c r="B3020" i="1"/>
  <c r="B3019" i="1"/>
  <c r="B3018" i="1"/>
  <c r="B3017" i="1"/>
  <c r="B3016" i="1"/>
  <c r="B3015" i="1"/>
  <c r="B3014" i="1"/>
  <c r="B3013" i="1"/>
  <c r="B3012" i="1"/>
  <c r="B3011" i="1"/>
  <c r="B3010" i="1"/>
  <c r="B3009" i="1"/>
  <c r="B3008" i="1"/>
  <c r="B3007" i="1"/>
  <c r="B3006" i="1"/>
  <c r="B3005" i="1"/>
  <c r="B3004" i="1"/>
  <c r="B3003" i="1"/>
  <c r="B3002" i="1"/>
  <c r="B3001" i="1"/>
  <c r="B3000" i="1"/>
  <c r="B2999" i="1"/>
  <c r="B2998" i="1"/>
  <c r="B2997" i="1"/>
  <c r="B2996" i="1"/>
  <c r="B2995" i="1"/>
  <c r="B2994" i="1"/>
  <c r="B2993" i="1"/>
  <c r="B2992" i="1"/>
  <c r="B2991" i="1"/>
  <c r="B2990" i="1"/>
  <c r="B2989" i="1"/>
  <c r="B2988" i="1"/>
  <c r="B2987" i="1"/>
  <c r="B2986" i="1"/>
  <c r="B2985" i="1"/>
  <c r="B2984" i="1"/>
  <c r="B2983" i="1"/>
  <c r="B2982" i="1"/>
  <c r="B2981" i="1"/>
  <c r="B2980" i="1"/>
  <c r="B2979" i="1"/>
  <c r="B2978" i="1"/>
  <c r="B2977" i="1"/>
  <c r="B2976" i="1"/>
  <c r="B2975" i="1"/>
  <c r="B2974" i="1"/>
  <c r="B2973" i="1"/>
  <c r="B2972" i="1"/>
  <c r="B2971" i="1"/>
  <c r="B2970" i="1"/>
  <c r="B2969" i="1"/>
  <c r="B2968" i="1"/>
  <c r="B2967" i="1"/>
  <c r="B2966" i="1"/>
  <c r="B2965" i="1"/>
  <c r="B2964" i="1"/>
  <c r="B2963" i="1"/>
  <c r="B2962" i="1"/>
  <c r="B2961" i="1"/>
  <c r="B2960" i="1"/>
  <c r="B2959" i="1"/>
  <c r="B2958" i="1"/>
  <c r="B2957" i="1"/>
  <c r="B2956" i="1"/>
  <c r="B2955" i="1"/>
  <c r="B2954" i="1"/>
  <c r="B2953" i="1"/>
  <c r="B2952" i="1"/>
  <c r="B2951" i="1"/>
  <c r="B2950" i="1"/>
  <c r="B2949" i="1"/>
  <c r="B2948" i="1"/>
  <c r="B2947" i="1"/>
  <c r="B2946" i="1"/>
  <c r="B2945" i="1"/>
  <c r="B2944" i="1"/>
  <c r="B2943" i="1"/>
  <c r="B2942" i="1"/>
  <c r="B2941" i="1"/>
  <c r="B2940" i="1"/>
  <c r="B2939" i="1"/>
  <c r="B2938" i="1"/>
  <c r="B2937" i="1"/>
  <c r="B2936" i="1"/>
  <c r="B2935" i="1"/>
  <c r="B2934" i="1"/>
  <c r="B2933" i="1"/>
  <c r="B2932" i="1"/>
  <c r="B2931" i="1"/>
  <c r="B2930" i="1"/>
  <c r="B2929" i="1"/>
  <c r="B2928" i="1"/>
  <c r="B2927" i="1"/>
  <c r="B2926" i="1"/>
  <c r="B2925" i="1"/>
  <c r="B2924" i="1"/>
  <c r="B2923" i="1"/>
  <c r="B2922" i="1"/>
  <c r="B2921" i="1"/>
  <c r="B2920" i="1"/>
  <c r="B2919" i="1"/>
  <c r="B2918" i="1"/>
  <c r="B2917" i="1"/>
  <c r="B2916" i="1"/>
  <c r="B2915" i="1"/>
  <c r="B2914" i="1"/>
  <c r="B2913" i="1"/>
  <c r="B2912" i="1"/>
  <c r="B2911" i="1"/>
  <c r="B2910" i="1"/>
  <c r="B2909" i="1"/>
  <c r="B2908" i="1"/>
  <c r="B2907" i="1"/>
  <c r="B2906" i="1"/>
  <c r="B2905" i="1"/>
  <c r="B2904" i="1"/>
  <c r="B2903" i="1"/>
  <c r="B2902" i="1"/>
  <c r="B2901" i="1"/>
  <c r="B2900" i="1"/>
  <c r="B2899" i="1"/>
  <c r="B2898" i="1"/>
  <c r="B2897" i="1"/>
  <c r="B2896" i="1"/>
  <c r="B2895" i="1"/>
  <c r="B2894" i="1"/>
  <c r="B2893" i="1"/>
  <c r="B2892" i="1"/>
  <c r="B2891" i="1"/>
  <c r="B2890" i="1"/>
  <c r="B2889" i="1"/>
  <c r="B2888" i="1"/>
  <c r="B2887" i="1"/>
  <c r="B2886" i="1"/>
  <c r="B2885" i="1"/>
  <c r="B2884" i="1"/>
  <c r="B2883" i="1"/>
  <c r="B2882" i="1"/>
  <c r="B2881" i="1"/>
  <c r="B2880" i="1"/>
  <c r="B2879" i="1"/>
  <c r="B2878" i="1"/>
  <c r="B2877" i="1"/>
  <c r="B2876" i="1"/>
  <c r="B2875" i="1"/>
  <c r="B2874" i="1"/>
  <c r="B2873" i="1"/>
  <c r="B2872" i="1"/>
  <c r="B2871" i="1"/>
  <c r="B2870" i="1"/>
  <c r="B2869" i="1"/>
  <c r="B2868" i="1"/>
  <c r="B2867" i="1"/>
  <c r="B2866" i="1"/>
  <c r="B2865" i="1"/>
  <c r="B2864" i="1"/>
  <c r="B2863" i="1"/>
  <c r="B2862" i="1"/>
  <c r="B2861" i="1"/>
  <c r="B2860" i="1"/>
  <c r="B2859" i="1"/>
  <c r="B2858" i="1"/>
  <c r="B2857" i="1"/>
  <c r="B2856" i="1"/>
  <c r="B2855" i="1"/>
  <c r="B2854" i="1"/>
  <c r="B2853" i="1"/>
  <c r="B2852" i="1"/>
  <c r="B2851" i="1"/>
  <c r="B2850" i="1"/>
  <c r="B2849" i="1"/>
  <c r="B2848" i="1"/>
  <c r="B2847" i="1"/>
  <c r="B2846" i="1"/>
  <c r="B2845" i="1"/>
  <c r="B2844" i="1"/>
  <c r="B2843" i="1"/>
  <c r="B2842" i="1"/>
  <c r="B2841" i="1"/>
  <c r="B2840" i="1"/>
  <c r="B2839" i="1"/>
  <c r="B2838" i="1"/>
  <c r="B2837" i="1"/>
  <c r="B2836" i="1"/>
  <c r="B2835" i="1"/>
  <c r="B2834" i="1"/>
  <c r="B2833" i="1"/>
  <c r="B2832" i="1"/>
  <c r="B2831" i="1"/>
  <c r="B2830" i="1"/>
  <c r="B2829" i="1"/>
  <c r="B2828" i="1"/>
  <c r="B2827" i="1"/>
  <c r="B2826" i="1"/>
  <c r="B2825" i="1"/>
  <c r="B2824" i="1"/>
  <c r="B2823" i="1"/>
  <c r="B2822" i="1"/>
  <c r="B2821" i="1"/>
  <c r="B2820" i="1"/>
  <c r="B2819" i="1"/>
  <c r="B2818" i="1"/>
  <c r="B2817" i="1"/>
  <c r="B2816" i="1"/>
  <c r="B2815" i="1"/>
  <c r="B2814" i="1"/>
  <c r="B2813" i="1"/>
  <c r="B2812" i="1"/>
  <c r="B2811" i="1"/>
  <c r="B2810" i="1"/>
  <c r="B2809" i="1"/>
  <c r="B2808" i="1"/>
  <c r="B2807" i="1"/>
  <c r="B2806" i="1"/>
  <c r="B2805" i="1"/>
  <c r="B2804" i="1"/>
  <c r="B2803" i="1"/>
  <c r="B2802" i="1"/>
  <c r="B2801" i="1"/>
  <c r="B2800" i="1"/>
  <c r="B2799" i="1"/>
  <c r="B2798" i="1"/>
  <c r="B2797" i="1"/>
  <c r="B2796" i="1"/>
  <c r="B2795" i="1"/>
  <c r="B2794" i="1"/>
  <c r="B2793" i="1"/>
  <c r="B2792" i="1"/>
  <c r="B2791" i="1"/>
  <c r="B2790" i="1"/>
  <c r="B2789" i="1"/>
  <c r="B2787" i="1"/>
  <c r="B2786" i="1"/>
  <c r="B2785" i="1"/>
  <c r="B2784" i="1"/>
  <c r="B2783" i="1"/>
  <c r="B2782" i="1"/>
  <c r="B2781" i="1"/>
  <c r="B2780" i="1"/>
  <c r="B2779" i="1"/>
  <c r="B2778" i="1"/>
  <c r="B2777" i="1"/>
  <c r="B2776" i="1"/>
  <c r="B2775" i="1"/>
  <c r="B2774" i="1"/>
  <c r="B2773" i="1"/>
  <c r="B2772" i="1"/>
  <c r="B2771" i="1"/>
  <c r="B2770" i="1"/>
  <c r="B2769" i="1"/>
  <c r="B2768" i="1"/>
  <c r="B2767" i="1"/>
  <c r="B2766" i="1"/>
  <c r="B2765" i="1"/>
  <c r="B2764" i="1"/>
  <c r="B2763" i="1"/>
  <c r="B2762" i="1"/>
  <c r="B2761" i="1"/>
  <c r="B2760" i="1"/>
  <c r="B2759" i="1"/>
  <c r="B2758" i="1"/>
  <c r="B2757" i="1"/>
  <c r="B2756" i="1"/>
  <c r="B2755" i="1"/>
  <c r="B2754" i="1"/>
  <c r="B2753" i="1"/>
  <c r="B2752" i="1"/>
  <c r="B2751" i="1"/>
  <c r="B2750" i="1"/>
  <c r="B2749" i="1"/>
  <c r="B2748" i="1"/>
  <c r="B2747" i="1"/>
  <c r="B2746" i="1"/>
  <c r="B2745" i="1"/>
  <c r="B2744" i="1"/>
  <c r="B2743" i="1"/>
  <c r="B2742" i="1"/>
  <c r="B2741" i="1"/>
  <c r="B2740" i="1"/>
  <c r="B2739" i="1"/>
  <c r="B2738" i="1"/>
  <c r="B2737" i="1"/>
  <c r="B2736" i="1"/>
  <c r="B2735" i="1"/>
  <c r="B2734" i="1"/>
  <c r="B2733" i="1"/>
  <c r="B2732" i="1"/>
  <c r="B2731" i="1"/>
  <c r="B2730" i="1"/>
  <c r="B2729" i="1"/>
  <c r="B2728" i="1"/>
  <c r="B2727" i="1"/>
  <c r="B2726" i="1"/>
  <c r="B2725" i="1"/>
  <c r="B2724" i="1"/>
  <c r="B2723" i="1"/>
  <c r="B2722" i="1"/>
  <c r="B2721" i="1"/>
  <c r="B2720" i="1"/>
  <c r="B2719" i="1"/>
  <c r="B2718" i="1"/>
  <c r="B2717" i="1"/>
  <c r="B2716" i="1"/>
  <c r="B2715" i="1"/>
  <c r="B2714" i="1"/>
  <c r="B2713" i="1"/>
  <c r="B2712" i="1"/>
  <c r="B2711" i="1"/>
  <c r="B2710" i="1"/>
  <c r="B2709" i="1"/>
  <c r="B2708" i="1"/>
  <c r="B2707" i="1"/>
  <c r="B2706" i="1"/>
  <c r="B2705" i="1"/>
  <c r="B2704" i="1"/>
  <c r="B2703" i="1"/>
  <c r="B2702" i="1"/>
  <c r="B2701" i="1"/>
  <c r="B2700" i="1"/>
  <c r="B2699" i="1"/>
  <c r="B2698" i="1"/>
  <c r="B2697" i="1"/>
  <c r="B2696" i="1"/>
  <c r="B2695" i="1"/>
  <c r="B2694" i="1"/>
  <c r="B2693" i="1"/>
  <c r="B2692" i="1"/>
  <c r="B2691" i="1"/>
  <c r="B2690" i="1"/>
  <c r="B2689" i="1"/>
  <c r="B2688" i="1"/>
  <c r="B2687" i="1"/>
  <c r="B2686" i="1"/>
  <c r="B2685" i="1"/>
  <c r="B2684" i="1"/>
  <c r="B2683" i="1"/>
  <c r="B2682" i="1"/>
  <c r="B2681" i="1"/>
  <c r="B2680" i="1"/>
  <c r="B2679" i="1"/>
  <c r="B2678" i="1"/>
  <c r="B2677" i="1"/>
  <c r="B2676" i="1"/>
  <c r="B2675" i="1"/>
  <c r="B2674" i="1"/>
  <c r="B2673" i="1"/>
  <c r="B2672" i="1"/>
  <c r="B2671" i="1"/>
  <c r="B2670" i="1"/>
  <c r="B2669" i="1"/>
  <c r="B2668" i="1"/>
  <c r="B2667" i="1"/>
  <c r="B2666" i="1"/>
  <c r="B2665" i="1"/>
  <c r="B2664" i="1"/>
  <c r="B2663" i="1"/>
  <c r="B2662" i="1"/>
  <c r="B2661" i="1"/>
  <c r="B2660" i="1"/>
  <c r="B2659" i="1"/>
  <c r="B2658" i="1"/>
  <c r="B2657" i="1"/>
  <c r="B2656" i="1"/>
  <c r="B2655" i="1"/>
  <c r="B2654" i="1"/>
  <c r="B2653" i="1"/>
  <c r="B2652" i="1"/>
  <c r="B2651" i="1"/>
  <c r="B2650" i="1"/>
  <c r="B2649" i="1"/>
  <c r="B2648" i="1"/>
  <c r="B2647" i="1"/>
  <c r="B2646" i="1"/>
  <c r="B2645" i="1"/>
  <c r="B2644" i="1"/>
  <c r="B2643" i="1"/>
  <c r="B2642" i="1"/>
  <c r="B2641" i="1"/>
  <c r="B2640" i="1"/>
  <c r="B2639" i="1"/>
  <c r="B2638" i="1"/>
  <c r="B2637" i="1"/>
  <c r="B2636" i="1"/>
  <c r="B2635" i="1"/>
  <c r="B2634" i="1"/>
  <c r="B2633" i="1"/>
  <c r="B2632" i="1"/>
  <c r="B2631" i="1"/>
  <c r="B2630" i="1"/>
  <c r="B2629" i="1"/>
  <c r="B2628" i="1"/>
  <c r="B2627" i="1"/>
  <c r="B2626" i="1"/>
  <c r="B2625" i="1"/>
  <c r="B2624" i="1"/>
  <c r="B2623" i="1"/>
  <c r="B2622" i="1"/>
  <c r="B2621" i="1"/>
  <c r="B2620" i="1"/>
  <c r="B2619" i="1"/>
  <c r="B2618" i="1"/>
  <c r="B2617" i="1"/>
  <c r="B2616" i="1"/>
  <c r="B2615" i="1"/>
  <c r="B2614" i="1"/>
  <c r="B2613" i="1"/>
  <c r="B2611" i="1"/>
  <c r="B2610" i="1"/>
  <c r="B2609" i="1"/>
  <c r="B2608" i="1"/>
  <c r="B2607" i="1"/>
  <c r="B2606" i="1"/>
  <c r="B2605" i="1"/>
  <c r="B2604" i="1"/>
  <c r="B2603" i="1"/>
  <c r="B2602" i="1"/>
  <c r="B2601" i="1"/>
  <c r="B2600" i="1"/>
  <c r="B2599" i="1"/>
  <c r="B2598" i="1"/>
  <c r="B2597" i="1"/>
  <c r="B2596" i="1"/>
  <c r="B2595" i="1"/>
  <c r="B2594" i="1"/>
  <c r="B2593" i="1"/>
  <c r="B2592" i="1"/>
  <c r="B2591" i="1"/>
  <c r="B2590" i="1"/>
  <c r="B2589" i="1"/>
  <c r="B2588" i="1"/>
  <c r="B2587" i="1"/>
  <c r="B2586" i="1"/>
  <c r="B2585" i="1"/>
  <c r="B2584" i="1"/>
  <c r="B2583" i="1"/>
  <c r="B2582" i="1"/>
  <c r="B2581" i="1"/>
  <c r="B2580" i="1"/>
  <c r="B2579" i="1"/>
  <c r="B2578" i="1"/>
  <c r="B2577" i="1"/>
  <c r="B2576" i="1"/>
  <c r="B2575" i="1"/>
  <c r="B2574" i="1"/>
  <c r="B2573" i="1"/>
  <c r="B2572" i="1"/>
  <c r="B2571" i="1"/>
  <c r="B2570" i="1"/>
  <c r="B2569" i="1"/>
  <c r="B2568" i="1"/>
  <c r="B2567" i="1"/>
  <c r="B2566" i="1"/>
  <c r="B2565" i="1"/>
  <c r="B2564" i="1"/>
  <c r="B2563" i="1"/>
  <c r="B2562" i="1"/>
  <c r="B2561" i="1"/>
  <c r="B2560" i="1"/>
  <c r="B2559" i="1"/>
  <c r="B2558" i="1"/>
  <c r="B2557" i="1"/>
  <c r="B2556" i="1"/>
  <c r="B2555" i="1"/>
  <c r="B2554" i="1"/>
  <c r="B2553" i="1"/>
  <c r="B2552" i="1"/>
  <c r="B2551" i="1"/>
  <c r="B2549" i="1"/>
  <c r="B2548" i="1"/>
  <c r="B2547" i="1"/>
  <c r="B2546" i="1"/>
  <c r="B2545" i="1"/>
  <c r="B2544" i="1"/>
  <c r="B2543" i="1"/>
  <c r="B2542" i="1"/>
  <c r="B2541" i="1"/>
  <c r="B2540" i="1"/>
  <c r="B2539" i="1"/>
  <c r="B2538" i="1"/>
  <c r="B2537" i="1"/>
  <c r="B2536" i="1"/>
  <c r="B2535" i="1"/>
  <c r="B2534" i="1"/>
  <c r="B2533" i="1"/>
  <c r="B2532" i="1"/>
  <c r="B2531" i="1"/>
  <c r="B2530" i="1"/>
  <c r="B2529" i="1"/>
  <c r="B2528" i="1"/>
  <c r="B2527" i="1"/>
  <c r="B2526" i="1"/>
  <c r="B2525" i="1"/>
  <c r="B2524" i="1"/>
  <c r="B2523" i="1"/>
  <c r="B2522" i="1"/>
  <c r="B2521" i="1"/>
  <c r="B2520" i="1"/>
  <c r="B2519" i="1"/>
  <c r="B2518" i="1"/>
  <c r="B2517" i="1"/>
  <c r="B2516" i="1"/>
  <c r="B2515" i="1"/>
  <c r="B2514" i="1"/>
  <c r="B2513" i="1"/>
  <c r="B2512" i="1"/>
  <c r="B2511" i="1"/>
  <c r="B2510" i="1"/>
  <c r="B2509" i="1"/>
  <c r="B2508" i="1"/>
  <c r="B2507" i="1"/>
  <c r="B2506" i="1"/>
  <c r="B2505" i="1"/>
  <c r="B2504" i="1"/>
  <c r="B2503" i="1"/>
  <c r="B2502" i="1"/>
  <c r="B2501" i="1"/>
  <c r="B2500" i="1"/>
  <c r="B2499" i="1"/>
  <c r="B2498" i="1"/>
  <c r="B2497" i="1"/>
  <c r="B2496" i="1"/>
  <c r="B2495" i="1"/>
  <c r="B2494" i="1"/>
  <c r="B2493" i="1"/>
  <c r="B2492" i="1"/>
  <c r="B2491" i="1"/>
  <c r="B2490" i="1"/>
  <c r="B2489" i="1"/>
  <c r="B2488" i="1"/>
  <c r="B2487" i="1"/>
  <c r="B2486" i="1"/>
  <c r="B2485" i="1"/>
  <c r="B2484" i="1"/>
  <c r="B2483" i="1"/>
  <c r="B2482" i="1"/>
  <c r="B2481" i="1"/>
  <c r="B2480" i="1"/>
  <c r="B2479" i="1"/>
  <c r="B2478" i="1"/>
  <c r="B2477" i="1"/>
  <c r="B2476" i="1"/>
  <c r="B2475" i="1"/>
  <c r="B2474" i="1"/>
  <c r="B2473" i="1"/>
  <c r="B2472" i="1"/>
  <c r="B2471" i="1"/>
  <c r="B2470" i="1"/>
  <c r="B2469" i="1"/>
  <c r="B2468" i="1"/>
  <c r="B2467" i="1"/>
  <c r="B2466" i="1"/>
  <c r="B2465" i="1"/>
  <c r="B2464" i="1"/>
  <c r="B2463" i="1"/>
  <c r="B2462" i="1"/>
  <c r="B2461" i="1"/>
  <c r="B2460" i="1"/>
  <c r="B2459" i="1"/>
  <c r="B2458" i="1"/>
  <c r="B2457" i="1"/>
  <c r="B2456" i="1"/>
  <c r="B2455" i="1"/>
  <c r="B2454" i="1"/>
  <c r="B2453" i="1"/>
  <c r="B2452" i="1"/>
  <c r="B2451" i="1"/>
  <c r="B2450" i="1"/>
  <c r="B2449" i="1"/>
  <c r="B2448" i="1"/>
  <c r="B2447" i="1"/>
  <c r="B2446" i="1"/>
  <c r="B2445" i="1"/>
  <c r="B2444" i="1"/>
  <c r="B2443" i="1"/>
  <c r="B2442" i="1"/>
  <c r="B2441" i="1"/>
  <c r="B2440" i="1"/>
  <c r="B2439" i="1"/>
  <c r="B2438" i="1"/>
  <c r="B2437" i="1"/>
  <c r="B2436" i="1"/>
  <c r="B2435" i="1"/>
  <c r="B2434" i="1"/>
  <c r="B2433" i="1"/>
  <c r="B2432" i="1"/>
  <c r="B2431" i="1"/>
  <c r="B2430" i="1"/>
  <c r="B2429" i="1"/>
  <c r="B2428" i="1"/>
  <c r="B2427" i="1"/>
  <c r="B2426" i="1"/>
  <c r="B2425" i="1"/>
  <c r="B2424" i="1"/>
  <c r="B2423" i="1"/>
  <c r="B2422" i="1"/>
  <c r="B2421" i="1"/>
  <c r="B2420" i="1"/>
  <c r="B2419" i="1"/>
  <c r="B2418" i="1"/>
  <c r="B2417" i="1"/>
  <c r="B2416" i="1"/>
  <c r="B2415" i="1"/>
  <c r="B2414" i="1"/>
  <c r="B2413" i="1"/>
  <c r="B2412" i="1"/>
  <c r="B2411" i="1"/>
  <c r="B2410" i="1"/>
  <c r="B2409" i="1"/>
  <c r="B2408" i="1"/>
  <c r="B2407" i="1"/>
  <c r="B2406" i="1"/>
  <c r="B2405" i="1"/>
  <c r="B2404" i="1"/>
  <c r="B2403" i="1"/>
  <c r="B2402" i="1"/>
  <c r="B2401" i="1"/>
  <c r="B2400" i="1"/>
  <c r="B2399" i="1"/>
  <c r="B2398" i="1"/>
  <c r="B2396" i="1"/>
  <c r="B2395" i="1"/>
  <c r="B2394" i="1"/>
  <c r="B2393" i="1"/>
  <c r="B2392" i="1"/>
  <c r="B2391" i="1"/>
  <c r="B2390" i="1"/>
  <c r="B2389" i="1"/>
  <c r="B2388" i="1"/>
  <c r="B2387" i="1"/>
  <c r="B2386" i="1"/>
  <c r="B2385" i="1"/>
  <c r="B2384" i="1"/>
  <c r="B2383" i="1"/>
  <c r="B2382" i="1"/>
  <c r="B2381" i="1"/>
  <c r="B2380" i="1"/>
  <c r="B2379" i="1"/>
  <c r="B2378" i="1"/>
  <c r="B2377" i="1"/>
  <c r="B2376" i="1"/>
  <c r="B2375" i="1"/>
  <c r="B2374" i="1"/>
  <c r="B2373" i="1"/>
  <c r="B2372" i="1"/>
  <c r="B2371" i="1"/>
  <c r="B2370" i="1"/>
  <c r="B2369" i="1"/>
  <c r="B2368" i="1"/>
  <c r="B2367" i="1"/>
  <c r="B2366" i="1"/>
  <c r="B2365" i="1"/>
  <c r="B2364" i="1"/>
  <c r="B2363" i="1"/>
  <c r="B2362" i="1"/>
  <c r="B2361" i="1"/>
  <c r="B2360" i="1"/>
  <c r="B2359" i="1"/>
  <c r="B2358" i="1"/>
  <c r="B2357" i="1"/>
  <c r="B2356" i="1"/>
  <c r="B2355" i="1"/>
  <c r="B2354" i="1"/>
  <c r="B2353" i="1"/>
  <c r="B2352" i="1"/>
  <c r="B2351" i="1"/>
  <c r="B2350" i="1"/>
  <c r="B2349" i="1"/>
  <c r="B2348" i="1"/>
  <c r="B2347" i="1"/>
  <c r="B2346" i="1"/>
  <c r="B2345" i="1"/>
  <c r="B2344" i="1"/>
  <c r="B2343" i="1"/>
  <c r="B2342" i="1"/>
  <c r="B2341" i="1"/>
  <c r="B2340" i="1"/>
  <c r="B2339" i="1"/>
  <c r="B2338" i="1"/>
  <c r="B2337" i="1"/>
  <c r="B2336" i="1"/>
  <c r="B2335" i="1"/>
  <c r="B2334" i="1"/>
  <c r="B2333" i="1"/>
  <c r="B2332" i="1"/>
  <c r="B2331" i="1"/>
  <c r="B2330" i="1"/>
  <c r="B2329" i="1"/>
  <c r="B2328" i="1"/>
  <c r="B2327" i="1"/>
  <c r="B2326" i="1"/>
  <c r="B2325" i="1"/>
  <c r="B2324" i="1"/>
  <c r="B2323" i="1"/>
  <c r="B2322" i="1"/>
  <c r="B2321" i="1"/>
  <c r="B2320" i="1"/>
  <c r="B2319" i="1"/>
  <c r="B2318" i="1"/>
  <c r="B2317" i="1"/>
  <c r="B2316" i="1"/>
  <c r="B2315" i="1"/>
  <c r="B2314" i="1"/>
  <c r="B2313" i="1"/>
  <c r="B2312" i="1"/>
  <c r="B2311" i="1"/>
  <c r="B2310" i="1"/>
  <c r="B2309" i="1"/>
  <c r="B2308" i="1"/>
  <c r="B2307" i="1"/>
  <c r="B2306" i="1"/>
  <c r="B2305" i="1"/>
  <c r="B2304" i="1"/>
  <c r="B2303" i="1"/>
  <c r="B2302" i="1"/>
  <c r="B2301" i="1"/>
  <c r="B2300" i="1"/>
  <c r="B2299" i="1"/>
  <c r="B2298" i="1"/>
  <c r="B2297" i="1"/>
  <c r="B2296" i="1"/>
  <c r="B2295" i="1"/>
  <c r="B2294" i="1"/>
  <c r="B2293" i="1"/>
  <c r="B2292" i="1"/>
  <c r="B2291" i="1"/>
  <c r="B2290" i="1"/>
  <c r="B2289" i="1"/>
  <c r="B2288" i="1"/>
  <c r="B2287" i="1"/>
  <c r="B2286" i="1"/>
  <c r="B2285" i="1"/>
  <c r="B2284" i="1"/>
  <c r="B2283" i="1"/>
  <c r="B2282" i="1"/>
  <c r="B2281" i="1"/>
  <c r="B2280" i="1"/>
  <c r="B2279" i="1"/>
  <c r="B2278" i="1"/>
  <c r="B2277" i="1"/>
  <c r="B2276" i="1"/>
  <c r="B2275" i="1"/>
  <c r="B2274" i="1"/>
  <c r="B2273" i="1"/>
  <c r="B2272" i="1"/>
  <c r="B2271" i="1"/>
  <c r="B2270" i="1"/>
  <c r="B2269" i="1"/>
  <c r="B2268" i="1"/>
  <c r="B2267" i="1"/>
  <c r="B2266" i="1"/>
  <c r="B2265" i="1"/>
  <c r="B2264" i="1"/>
  <c r="B2263" i="1"/>
  <c r="B2262" i="1"/>
  <c r="B2261" i="1"/>
  <c r="B2260" i="1"/>
  <c r="B2259" i="1"/>
  <c r="B2258" i="1"/>
  <c r="B2257" i="1"/>
  <c r="B2256" i="1"/>
  <c r="B2255" i="1"/>
  <c r="B2254" i="1"/>
  <c r="B2253" i="1"/>
  <c r="B2252" i="1"/>
  <c r="B2251" i="1"/>
  <c r="B2250" i="1"/>
  <c r="B2249" i="1"/>
  <c r="B2248" i="1"/>
  <c r="B2247" i="1"/>
  <c r="B2246" i="1"/>
  <c r="B2245" i="1"/>
  <c r="B2244" i="1"/>
  <c r="B2243" i="1"/>
  <c r="B2242" i="1"/>
  <c r="B2241" i="1"/>
  <c r="B2240" i="1"/>
  <c r="B2239" i="1"/>
  <c r="B2238" i="1"/>
  <c r="B2237" i="1"/>
  <c r="B2236" i="1"/>
  <c r="B2235" i="1"/>
  <c r="B2234" i="1"/>
  <c r="B2233" i="1"/>
  <c r="B2232" i="1"/>
  <c r="B2231" i="1"/>
  <c r="B2230" i="1"/>
  <c r="B2229" i="1"/>
  <c r="B2228" i="1"/>
  <c r="B2227" i="1"/>
  <c r="B2226" i="1"/>
  <c r="B2225" i="1"/>
  <c r="B2224" i="1"/>
  <c r="B2223" i="1"/>
  <c r="B2222" i="1"/>
  <c r="B2221" i="1"/>
  <c r="B2220" i="1"/>
  <c r="B2219" i="1"/>
  <c r="B2218" i="1"/>
  <c r="B2217" i="1"/>
  <c r="B2216" i="1"/>
  <c r="B2215" i="1"/>
  <c r="B2214" i="1"/>
  <c r="B2213" i="1"/>
  <c r="B2212" i="1"/>
  <c r="B2211" i="1"/>
  <c r="B2210" i="1"/>
  <c r="B2209" i="1"/>
  <c r="B2208" i="1"/>
  <c r="B2207" i="1"/>
  <c r="B2206" i="1"/>
  <c r="B2205" i="1"/>
  <c r="B2204" i="1"/>
  <c r="B2203" i="1"/>
  <c r="B2202" i="1"/>
  <c r="B2201" i="1"/>
  <c r="B2200" i="1"/>
  <c r="B2199" i="1"/>
  <c r="B2198" i="1"/>
  <c r="B2197" i="1"/>
  <c r="B2196" i="1"/>
  <c r="B2195" i="1"/>
  <c r="B2194" i="1"/>
  <c r="B2193" i="1"/>
  <c r="B2192" i="1"/>
  <c r="B2191" i="1"/>
  <c r="B2190" i="1"/>
  <c r="B2189" i="1"/>
  <c r="B2188" i="1"/>
  <c r="B2187" i="1"/>
  <c r="B2186" i="1"/>
  <c r="B2185" i="1"/>
  <c r="B2184" i="1"/>
  <c r="B2183" i="1"/>
  <c r="B2182" i="1"/>
  <c r="B2181" i="1"/>
  <c r="B2180" i="1"/>
  <c r="B2179" i="1"/>
  <c r="B2178" i="1"/>
  <c r="B2177" i="1"/>
  <c r="B2176" i="1"/>
  <c r="B2175" i="1"/>
  <c r="B2174" i="1"/>
  <c r="B2173" i="1"/>
  <c r="B2172" i="1"/>
  <c r="B2171" i="1"/>
  <c r="B2170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A13982" i="1"/>
  <c r="A13981" i="1"/>
  <c r="A13980" i="1"/>
  <c r="A13979" i="1"/>
  <c r="A13978" i="1"/>
  <c r="A13977" i="1"/>
  <c r="A13976" i="1"/>
  <c r="A13975" i="1"/>
  <c r="A13974" i="1"/>
  <c r="A13973" i="1"/>
  <c r="A13972" i="1"/>
  <c r="A13971" i="1"/>
  <c r="A13970" i="1"/>
  <c r="A13969" i="1"/>
  <c r="A13968" i="1"/>
  <c r="A13967" i="1"/>
  <c r="A13966" i="1"/>
  <c r="A13965" i="1"/>
  <c r="A13964" i="1"/>
  <c r="A13963" i="1"/>
  <c r="A13962" i="1"/>
  <c r="A13961" i="1"/>
  <c r="A13960" i="1"/>
  <c r="A13959" i="1"/>
  <c r="A13958" i="1"/>
  <c r="A13957" i="1"/>
  <c r="A13956" i="1"/>
  <c r="A13955" i="1"/>
  <c r="A13954" i="1"/>
  <c r="A13953" i="1"/>
  <c r="A13952" i="1"/>
  <c r="A13951" i="1"/>
  <c r="A13950" i="1"/>
  <c r="A13949" i="1"/>
  <c r="A13948" i="1"/>
  <c r="A13947" i="1"/>
  <c r="A13946" i="1"/>
  <c r="A13945" i="1"/>
  <c r="A13944" i="1"/>
  <c r="A13943" i="1"/>
  <c r="A13942" i="1"/>
  <c r="A13941" i="1"/>
  <c r="A13940" i="1"/>
  <c r="A13939" i="1"/>
  <c r="A13938" i="1"/>
  <c r="A13937" i="1"/>
  <c r="A13936" i="1"/>
  <c r="A13935" i="1"/>
  <c r="A13934" i="1"/>
  <c r="A13933" i="1"/>
  <c r="A13932" i="1"/>
  <c r="A13931" i="1"/>
  <c r="A13930" i="1"/>
  <c r="A13929" i="1"/>
  <c r="A13928" i="1"/>
  <c r="A13927" i="1"/>
  <c r="A13926" i="1"/>
  <c r="A13925" i="1"/>
  <c r="A13924" i="1"/>
  <c r="A13923" i="1"/>
  <c r="A13922" i="1"/>
  <c r="A13921" i="1"/>
  <c r="A13920" i="1"/>
  <c r="A13919" i="1"/>
  <c r="A13918" i="1"/>
  <c r="A13917" i="1"/>
  <c r="A13916" i="1"/>
  <c r="A13915" i="1"/>
  <c r="A13914" i="1"/>
  <c r="A13913" i="1"/>
  <c r="A13912" i="1"/>
  <c r="A13911" i="1"/>
  <c r="A13910" i="1"/>
  <c r="A13909" i="1"/>
  <c r="A13908" i="1"/>
  <c r="A13907" i="1"/>
  <c r="A13906" i="1"/>
  <c r="A13905" i="1"/>
  <c r="A13904" i="1"/>
  <c r="A13903" i="1"/>
  <c r="A13902" i="1"/>
  <c r="A13901" i="1"/>
  <c r="A13900" i="1"/>
  <c r="A13899" i="1"/>
  <c r="A13898" i="1"/>
  <c r="A13897" i="1"/>
  <c r="A13896" i="1"/>
  <c r="A13895" i="1"/>
  <c r="A13894" i="1"/>
  <c r="A13893" i="1"/>
  <c r="A13892" i="1"/>
  <c r="A13891" i="1"/>
  <c r="A13890" i="1"/>
  <c r="A13889" i="1"/>
  <c r="A13888" i="1"/>
  <c r="A13887" i="1"/>
  <c r="A13886" i="1"/>
  <c r="A13885" i="1"/>
  <c r="A13884" i="1"/>
  <c r="A13883" i="1"/>
  <c r="A13882" i="1"/>
  <c r="A13881" i="1"/>
  <c r="A13880" i="1"/>
  <c r="A13879" i="1"/>
  <c r="A13878" i="1"/>
  <c r="A13877" i="1"/>
  <c r="A13876" i="1"/>
  <c r="A13875" i="1"/>
  <c r="A13874" i="1"/>
  <c r="A13873" i="1"/>
  <c r="A13872" i="1"/>
  <c r="A13871" i="1"/>
  <c r="A13870" i="1"/>
  <c r="A13869" i="1"/>
  <c r="A13868" i="1"/>
  <c r="A13867" i="1"/>
  <c r="A13866" i="1"/>
  <c r="A13865" i="1"/>
  <c r="A13864" i="1"/>
  <c r="A13863" i="1"/>
  <c r="A13862" i="1"/>
  <c r="A13861" i="1"/>
  <c r="A13860" i="1"/>
  <c r="A13859" i="1"/>
  <c r="A13858" i="1"/>
  <c r="A13857" i="1"/>
  <c r="A13856" i="1"/>
  <c r="A13855" i="1"/>
  <c r="A13854" i="1"/>
  <c r="A13853" i="1"/>
  <c r="A13852" i="1"/>
  <c r="A13851" i="1"/>
  <c r="A13850" i="1"/>
  <c r="A13849" i="1"/>
  <c r="A13848" i="1"/>
  <c r="A13847" i="1"/>
  <c r="A13846" i="1"/>
  <c r="A13845" i="1"/>
  <c r="A13844" i="1"/>
  <c r="A13843" i="1"/>
  <c r="A13842" i="1"/>
  <c r="A13841" i="1"/>
  <c r="A13840" i="1"/>
  <c r="A13839" i="1"/>
  <c r="A13838" i="1"/>
  <c r="A13837" i="1"/>
  <c r="A13836" i="1"/>
  <c r="A13835" i="1"/>
  <c r="A13834" i="1"/>
  <c r="A13833" i="1"/>
  <c r="A13832" i="1"/>
  <c r="A13831" i="1"/>
  <c r="A13830" i="1"/>
  <c r="A13829" i="1"/>
  <c r="A13828" i="1"/>
  <c r="A13827" i="1"/>
  <c r="A13826" i="1"/>
  <c r="A13825" i="1"/>
  <c r="A13824" i="1"/>
  <c r="A13823" i="1"/>
  <c r="A13822" i="1"/>
  <c r="A13821" i="1"/>
  <c r="A13820" i="1"/>
  <c r="A13819" i="1"/>
  <c r="A13818" i="1"/>
  <c r="A13817" i="1"/>
  <c r="A13816" i="1"/>
  <c r="A13815" i="1"/>
  <c r="A13814" i="1"/>
  <c r="A13813" i="1"/>
  <c r="A13812" i="1"/>
  <c r="A13811" i="1"/>
  <c r="A13810" i="1"/>
  <c r="A13809" i="1"/>
  <c r="A13808" i="1"/>
  <c r="A13807" i="1"/>
  <c r="A13806" i="1"/>
  <c r="A13805" i="1"/>
  <c r="A13804" i="1"/>
  <c r="A13803" i="1"/>
  <c r="A13802" i="1"/>
  <c r="A13801" i="1"/>
  <c r="A13800" i="1"/>
  <c r="A13799" i="1"/>
  <c r="A13798" i="1"/>
  <c r="A13797" i="1"/>
  <c r="A13796" i="1"/>
  <c r="A13795" i="1"/>
  <c r="A13794" i="1"/>
  <c r="A13793" i="1"/>
  <c r="A13792" i="1"/>
  <c r="A13791" i="1"/>
  <c r="A13790" i="1"/>
  <c r="A13789" i="1"/>
  <c r="A13788" i="1"/>
  <c r="A13787" i="1"/>
  <c r="A13786" i="1"/>
  <c r="A13785" i="1"/>
  <c r="A13784" i="1"/>
  <c r="A13783" i="1"/>
  <c r="A13782" i="1"/>
  <c r="A13781" i="1"/>
  <c r="A13780" i="1"/>
  <c r="A13779" i="1"/>
  <c r="A13778" i="1"/>
  <c r="A13777" i="1"/>
  <c r="A13776" i="1"/>
  <c r="A13775" i="1"/>
  <c r="A13774" i="1"/>
  <c r="A13773" i="1"/>
  <c r="A13772" i="1"/>
  <c r="A13771" i="1"/>
  <c r="A13770" i="1"/>
  <c r="A13769" i="1"/>
  <c r="A13768" i="1"/>
  <c r="A13767" i="1"/>
  <c r="A13766" i="1"/>
  <c r="A13765" i="1"/>
  <c r="A13764" i="1"/>
  <c r="A13763" i="1"/>
  <c r="A13762" i="1"/>
  <c r="A13761" i="1"/>
  <c r="A13760" i="1"/>
  <c r="A13759" i="1"/>
  <c r="A13758" i="1"/>
  <c r="A13757" i="1"/>
  <c r="A13756" i="1"/>
  <c r="A13755" i="1"/>
  <c r="A13754" i="1"/>
  <c r="A13753" i="1"/>
  <c r="A13752" i="1"/>
  <c r="A13751" i="1"/>
  <c r="A13750" i="1"/>
  <c r="A13749" i="1"/>
  <c r="A13748" i="1"/>
  <c r="A13747" i="1"/>
  <c r="A13746" i="1"/>
  <c r="A13745" i="1"/>
  <c r="A13744" i="1"/>
  <c r="A13743" i="1"/>
  <c r="A13742" i="1"/>
  <c r="A13741" i="1"/>
  <c r="A13740" i="1"/>
  <c r="A13739" i="1"/>
  <c r="A13738" i="1"/>
  <c r="A13737" i="1"/>
  <c r="A13736" i="1"/>
  <c r="A13735" i="1"/>
  <c r="A13734" i="1"/>
  <c r="A13733" i="1"/>
  <c r="A13732" i="1"/>
  <c r="A13731" i="1"/>
  <c r="A13730" i="1"/>
  <c r="A13729" i="1"/>
  <c r="A13728" i="1"/>
  <c r="A13727" i="1"/>
  <c r="A13726" i="1"/>
  <c r="A13725" i="1"/>
  <c r="A13724" i="1"/>
  <c r="A13723" i="1"/>
  <c r="A13722" i="1"/>
  <c r="A13721" i="1"/>
  <c r="A13720" i="1"/>
  <c r="A13719" i="1"/>
  <c r="A13718" i="1"/>
  <c r="A13717" i="1"/>
  <c r="A13716" i="1"/>
  <c r="A13715" i="1"/>
  <c r="A13714" i="1"/>
  <c r="A13713" i="1"/>
  <c r="A13712" i="1"/>
  <c r="A13711" i="1"/>
  <c r="A13710" i="1"/>
  <c r="A13709" i="1"/>
  <c r="A13708" i="1"/>
  <c r="A13707" i="1"/>
  <c r="A13706" i="1"/>
  <c r="A13705" i="1"/>
  <c r="A13704" i="1"/>
  <c r="A13703" i="1"/>
  <c r="A13702" i="1"/>
  <c r="A13701" i="1"/>
  <c r="A13700" i="1"/>
  <c r="A13699" i="1"/>
  <c r="A13698" i="1"/>
  <c r="A13697" i="1"/>
  <c r="A13696" i="1"/>
  <c r="A13695" i="1"/>
  <c r="A13694" i="1"/>
  <c r="A13693" i="1"/>
  <c r="A13692" i="1"/>
  <c r="A13691" i="1"/>
  <c r="A13690" i="1"/>
  <c r="A13689" i="1"/>
  <c r="A13688" i="1"/>
  <c r="A13687" i="1"/>
  <c r="A13686" i="1"/>
  <c r="A13685" i="1"/>
  <c r="A13684" i="1"/>
  <c r="A13683" i="1"/>
  <c r="A13682" i="1"/>
  <c r="A13681" i="1"/>
  <c r="A13680" i="1"/>
  <c r="A13679" i="1"/>
  <c r="A13678" i="1"/>
  <c r="A13677" i="1"/>
  <c r="A13676" i="1"/>
  <c r="A13675" i="1"/>
  <c r="A13674" i="1"/>
  <c r="A13673" i="1"/>
  <c r="A13672" i="1"/>
  <c r="A13671" i="1"/>
  <c r="A13670" i="1"/>
  <c r="A13669" i="1"/>
  <c r="A13668" i="1"/>
  <c r="A13667" i="1"/>
  <c r="A13666" i="1"/>
  <c r="A13665" i="1"/>
  <c r="A13664" i="1"/>
  <c r="A13663" i="1"/>
  <c r="A13662" i="1"/>
  <c r="A13661" i="1"/>
  <c r="A13660" i="1"/>
  <c r="A13659" i="1"/>
  <c r="A13658" i="1"/>
  <c r="A13657" i="1"/>
  <c r="A13656" i="1"/>
  <c r="A13655" i="1"/>
  <c r="A13654" i="1"/>
  <c r="A13653" i="1"/>
  <c r="A13652" i="1"/>
  <c r="A13651" i="1"/>
  <c r="A13650" i="1"/>
  <c r="A13649" i="1"/>
  <c r="A13648" i="1"/>
  <c r="A13647" i="1"/>
  <c r="A13646" i="1"/>
  <c r="A13645" i="1"/>
  <c r="A13644" i="1"/>
  <c r="A13643" i="1"/>
  <c r="A13642" i="1"/>
  <c r="A13641" i="1"/>
  <c r="A13640" i="1"/>
  <c r="A13639" i="1"/>
  <c r="A13638" i="1"/>
  <c r="A13637" i="1"/>
  <c r="A13636" i="1"/>
  <c r="A13635" i="1"/>
  <c r="A13634" i="1"/>
  <c r="A13633" i="1"/>
  <c r="A13632" i="1"/>
  <c r="A13631" i="1"/>
  <c r="A13630" i="1"/>
  <c r="A13629" i="1"/>
  <c r="A13628" i="1"/>
  <c r="A13627" i="1"/>
  <c r="A13626" i="1"/>
  <c r="A13625" i="1"/>
  <c r="A13624" i="1"/>
  <c r="A13623" i="1"/>
  <c r="A13622" i="1"/>
  <c r="A13621" i="1"/>
  <c r="A13620" i="1"/>
  <c r="A13619" i="1"/>
  <c r="A13618" i="1"/>
  <c r="A13617" i="1"/>
  <c r="A13616" i="1"/>
  <c r="A13615" i="1"/>
  <c r="A13614" i="1"/>
  <c r="A13613" i="1"/>
  <c r="A13612" i="1"/>
  <c r="A13611" i="1"/>
  <c r="A13610" i="1"/>
  <c r="A13609" i="1"/>
  <c r="A13608" i="1"/>
  <c r="A13607" i="1"/>
  <c r="A13606" i="1"/>
  <c r="A13605" i="1"/>
  <c r="A13604" i="1"/>
  <c r="A13603" i="1"/>
  <c r="A13602" i="1"/>
  <c r="A13601" i="1"/>
  <c r="A13600" i="1"/>
  <c r="A13599" i="1"/>
  <c r="A13598" i="1"/>
  <c r="A13597" i="1"/>
  <c r="A13596" i="1"/>
  <c r="A13595" i="1"/>
  <c r="A13594" i="1"/>
  <c r="A13593" i="1"/>
  <c r="A13592" i="1"/>
  <c r="A13591" i="1"/>
  <c r="A13590" i="1"/>
  <c r="A13589" i="1"/>
  <c r="A13588" i="1"/>
  <c r="A13587" i="1"/>
  <c r="A13586" i="1"/>
  <c r="A13585" i="1"/>
  <c r="A13584" i="1"/>
  <c r="A13583" i="1"/>
  <c r="A13582" i="1"/>
  <c r="A13581" i="1"/>
  <c r="A13580" i="1"/>
  <c r="A13579" i="1"/>
  <c r="A13578" i="1"/>
  <c r="A13577" i="1"/>
  <c r="A13576" i="1"/>
  <c r="A13575" i="1"/>
  <c r="A13574" i="1"/>
  <c r="A13573" i="1"/>
  <c r="A13572" i="1"/>
  <c r="A13571" i="1"/>
  <c r="A13570" i="1"/>
  <c r="A13569" i="1"/>
  <c r="A13568" i="1"/>
  <c r="A13567" i="1"/>
  <c r="A13566" i="1"/>
  <c r="A13565" i="1"/>
  <c r="A13564" i="1"/>
  <c r="A13563" i="1"/>
  <c r="A13562" i="1"/>
  <c r="A13561" i="1"/>
  <c r="A13560" i="1"/>
  <c r="A13559" i="1"/>
  <c r="A13558" i="1"/>
  <c r="A13557" i="1"/>
  <c r="A13556" i="1"/>
  <c r="A13555" i="1"/>
  <c r="A13554" i="1"/>
  <c r="A13553" i="1"/>
  <c r="A13552" i="1"/>
  <c r="A13551" i="1"/>
  <c r="A13550" i="1"/>
  <c r="A13549" i="1"/>
  <c r="A13548" i="1"/>
  <c r="A13547" i="1"/>
  <c r="A13546" i="1"/>
  <c r="A13545" i="1"/>
  <c r="A13544" i="1"/>
  <c r="A13543" i="1"/>
  <c r="A13542" i="1"/>
  <c r="A13541" i="1"/>
  <c r="A13540" i="1"/>
  <c r="A13539" i="1"/>
  <c r="A13538" i="1"/>
  <c r="A13537" i="1"/>
  <c r="A13536" i="1"/>
  <c r="A13535" i="1"/>
  <c r="A13534" i="1"/>
  <c r="A13533" i="1"/>
  <c r="A13532" i="1"/>
  <c r="A13531" i="1"/>
  <c r="A13530" i="1"/>
  <c r="A13529" i="1"/>
  <c r="A13528" i="1"/>
  <c r="A13527" i="1"/>
  <c r="A13526" i="1"/>
  <c r="A13525" i="1"/>
  <c r="A13524" i="1"/>
  <c r="A13523" i="1"/>
  <c r="A13522" i="1"/>
  <c r="A13521" i="1"/>
  <c r="A13520" i="1"/>
  <c r="A13519" i="1"/>
  <c r="A13518" i="1"/>
  <c r="A13517" i="1"/>
  <c r="A13516" i="1"/>
  <c r="A13515" i="1"/>
  <c r="A13514" i="1"/>
  <c r="A13513" i="1"/>
  <c r="A13512" i="1"/>
  <c r="A13511" i="1"/>
  <c r="A13510" i="1"/>
  <c r="A13509" i="1"/>
  <c r="A13508" i="1"/>
  <c r="A13507" i="1"/>
  <c r="A13506" i="1"/>
  <c r="A13505" i="1"/>
  <c r="A13504" i="1"/>
  <c r="A13503" i="1"/>
  <c r="A13502" i="1"/>
  <c r="A13501" i="1"/>
  <c r="A13500" i="1"/>
  <c r="A13499" i="1"/>
  <c r="A13498" i="1"/>
  <c r="A13497" i="1"/>
  <c r="A13496" i="1"/>
  <c r="A13495" i="1"/>
  <c r="A13494" i="1"/>
  <c r="A13493" i="1"/>
  <c r="A13492" i="1"/>
  <c r="A13491" i="1"/>
  <c r="A13490" i="1"/>
  <c r="A13489" i="1"/>
  <c r="A13488" i="1"/>
  <c r="A13487" i="1"/>
  <c r="A13486" i="1"/>
  <c r="A13485" i="1"/>
  <c r="A13484" i="1"/>
  <c r="A13483" i="1"/>
  <c r="A13482" i="1"/>
  <c r="A13481" i="1"/>
  <c r="A13480" i="1"/>
  <c r="A13479" i="1"/>
  <c r="A13478" i="1"/>
  <c r="A13477" i="1"/>
  <c r="A13476" i="1"/>
  <c r="A13475" i="1"/>
  <c r="A13474" i="1"/>
  <c r="A13473" i="1"/>
  <c r="A13472" i="1"/>
  <c r="A13471" i="1"/>
  <c r="A13470" i="1"/>
  <c r="A13469" i="1"/>
  <c r="A13468" i="1"/>
  <c r="A13467" i="1"/>
  <c r="A13466" i="1"/>
  <c r="A13465" i="1"/>
  <c r="A13464" i="1"/>
  <c r="A13463" i="1"/>
  <c r="A13462" i="1"/>
  <c r="A13461" i="1"/>
  <c r="A13460" i="1"/>
  <c r="A13459" i="1"/>
  <c r="A13458" i="1"/>
  <c r="A13457" i="1"/>
  <c r="A13456" i="1"/>
  <c r="A13455" i="1"/>
  <c r="A13454" i="1"/>
  <c r="A13453" i="1"/>
  <c r="A13452" i="1"/>
  <c r="A13451" i="1"/>
  <c r="A13450" i="1"/>
  <c r="A13449" i="1"/>
  <c r="A13448" i="1"/>
  <c r="A13447" i="1"/>
  <c r="A13446" i="1"/>
  <c r="A13445" i="1"/>
  <c r="A13444" i="1"/>
  <c r="A13443" i="1"/>
  <c r="A13442" i="1"/>
  <c r="A13441" i="1"/>
  <c r="A13440" i="1"/>
  <c r="A13439" i="1"/>
  <c r="A13438" i="1"/>
  <c r="A13437" i="1"/>
  <c r="A13436" i="1"/>
  <c r="A13435" i="1"/>
  <c r="A13434" i="1"/>
  <c r="A13433" i="1"/>
  <c r="A13432" i="1"/>
  <c r="A13431" i="1"/>
  <c r="A13430" i="1"/>
  <c r="A13429" i="1"/>
  <c r="A13428" i="1"/>
  <c r="A13427" i="1"/>
  <c r="A13426" i="1"/>
  <c r="A13425" i="1"/>
  <c r="A13424" i="1"/>
  <c r="A13423" i="1"/>
  <c r="A13422" i="1"/>
  <c r="A13421" i="1"/>
  <c r="A13420" i="1"/>
  <c r="A13419" i="1"/>
  <c r="A13418" i="1"/>
  <c r="A13417" i="1"/>
  <c r="A13416" i="1"/>
  <c r="A13415" i="1"/>
  <c r="A13414" i="1"/>
  <c r="A13413" i="1"/>
  <c r="A13412" i="1"/>
  <c r="A13411" i="1"/>
  <c r="A13410" i="1"/>
  <c r="A13409" i="1"/>
  <c r="A13408" i="1"/>
  <c r="A13407" i="1"/>
  <c r="A13406" i="1"/>
  <c r="A13405" i="1"/>
  <c r="A13404" i="1"/>
  <c r="A13403" i="1"/>
  <c r="A13402" i="1"/>
  <c r="A13401" i="1"/>
  <c r="A13400" i="1"/>
  <c r="A13399" i="1"/>
  <c r="A13398" i="1"/>
  <c r="A13397" i="1"/>
  <c r="A13396" i="1"/>
  <c r="A13395" i="1"/>
  <c r="A13394" i="1"/>
  <c r="A13393" i="1"/>
  <c r="A13392" i="1"/>
  <c r="A13391" i="1"/>
  <c r="A13390" i="1"/>
  <c r="A13389" i="1"/>
  <c r="A13388" i="1"/>
  <c r="A13387" i="1"/>
  <c r="A13386" i="1"/>
  <c r="A13385" i="1"/>
  <c r="A13384" i="1"/>
  <c r="A13383" i="1"/>
  <c r="A13382" i="1"/>
  <c r="A13381" i="1"/>
  <c r="A13380" i="1"/>
  <c r="A13379" i="1"/>
  <c r="A13378" i="1"/>
  <c r="A13377" i="1"/>
  <c r="A13376" i="1"/>
  <c r="A13375" i="1"/>
  <c r="A13374" i="1"/>
  <c r="A13373" i="1"/>
  <c r="A13372" i="1"/>
  <c r="A13371" i="1"/>
  <c r="A13370" i="1"/>
  <c r="A13369" i="1"/>
  <c r="A13368" i="1"/>
  <c r="A13367" i="1"/>
  <c r="A13366" i="1"/>
  <c r="A13365" i="1"/>
  <c r="A13364" i="1"/>
  <c r="A13363" i="1"/>
  <c r="A13362" i="1"/>
  <c r="A13361" i="1"/>
  <c r="A13360" i="1"/>
  <c r="A13359" i="1"/>
  <c r="A13358" i="1"/>
  <c r="A13357" i="1"/>
  <c r="A13356" i="1"/>
  <c r="A13355" i="1"/>
  <c r="A13354" i="1"/>
  <c r="A13353" i="1"/>
  <c r="A13352" i="1"/>
  <c r="A13351" i="1"/>
  <c r="A13350" i="1"/>
  <c r="A13349" i="1"/>
  <c r="A13348" i="1"/>
  <c r="A13347" i="1"/>
  <c r="A13346" i="1"/>
  <c r="A13345" i="1"/>
  <c r="A13344" i="1"/>
  <c r="A13343" i="1"/>
  <c r="A13342" i="1"/>
  <c r="A13341" i="1"/>
  <c r="A13340" i="1"/>
  <c r="A13339" i="1"/>
  <c r="A13338" i="1"/>
  <c r="A13337" i="1"/>
  <c r="A13336" i="1"/>
  <c r="A13335" i="1"/>
  <c r="A13334" i="1"/>
  <c r="A13333" i="1"/>
  <c r="A13332" i="1"/>
  <c r="A13331" i="1"/>
  <c r="A13330" i="1"/>
  <c r="A13329" i="1"/>
  <c r="A13328" i="1"/>
  <c r="A13327" i="1"/>
  <c r="A13326" i="1"/>
  <c r="A13325" i="1"/>
  <c r="A13324" i="1"/>
  <c r="A13323" i="1"/>
  <c r="A13322" i="1"/>
  <c r="A13321" i="1"/>
  <c r="A13320" i="1"/>
  <c r="A13319" i="1"/>
  <c r="A13318" i="1"/>
  <c r="A13317" i="1"/>
  <c r="A13316" i="1"/>
  <c r="A13315" i="1"/>
  <c r="A13314" i="1"/>
  <c r="A13313" i="1"/>
  <c r="A13312" i="1"/>
  <c r="A13311" i="1"/>
  <c r="A13310" i="1"/>
  <c r="A13309" i="1"/>
  <c r="A13308" i="1"/>
  <c r="A13307" i="1"/>
  <c r="A13306" i="1"/>
  <c r="A13305" i="1"/>
  <c r="A13304" i="1"/>
  <c r="A13303" i="1"/>
  <c r="A13302" i="1"/>
  <c r="A13301" i="1"/>
  <c r="A13300" i="1"/>
  <c r="A13299" i="1"/>
  <c r="A13298" i="1"/>
  <c r="A13297" i="1"/>
  <c r="A13296" i="1"/>
  <c r="A13295" i="1"/>
  <c r="A13294" i="1"/>
  <c r="A13293" i="1"/>
  <c r="A13292" i="1"/>
  <c r="A13291" i="1"/>
  <c r="A13290" i="1"/>
  <c r="A13289" i="1"/>
  <c r="A13288" i="1"/>
  <c r="A13287" i="1"/>
  <c r="A13286" i="1"/>
  <c r="A13285" i="1"/>
  <c r="A13284" i="1"/>
  <c r="A13283" i="1"/>
  <c r="A13282" i="1"/>
  <c r="A13281" i="1"/>
  <c r="A13280" i="1"/>
  <c r="A13279" i="1"/>
  <c r="A13278" i="1"/>
  <c r="A13277" i="1"/>
  <c r="A13276" i="1"/>
  <c r="A13275" i="1"/>
  <c r="A13274" i="1"/>
  <c r="A13273" i="1"/>
  <c r="A13272" i="1"/>
  <c r="A13271" i="1"/>
  <c r="A13270" i="1"/>
  <c r="A13269" i="1"/>
  <c r="A13268" i="1"/>
  <c r="A13267" i="1"/>
  <c r="A13266" i="1"/>
  <c r="A13265" i="1"/>
  <c r="A13264" i="1"/>
  <c r="A13263" i="1"/>
  <c r="A13262" i="1"/>
  <c r="A13261" i="1"/>
  <c r="A13260" i="1"/>
  <c r="A13259" i="1"/>
  <c r="A13258" i="1"/>
  <c r="A13257" i="1"/>
  <c r="A13256" i="1"/>
  <c r="A13255" i="1"/>
  <c r="A13254" i="1"/>
  <c r="A13253" i="1"/>
  <c r="A13252" i="1"/>
  <c r="A13251" i="1"/>
  <c r="A13250" i="1"/>
  <c r="A13249" i="1"/>
  <c r="A13248" i="1"/>
  <c r="A13247" i="1"/>
  <c r="A13246" i="1"/>
  <c r="A13245" i="1"/>
  <c r="A13244" i="1"/>
  <c r="A13243" i="1"/>
  <c r="A13242" i="1"/>
  <c r="A13241" i="1"/>
  <c r="A13240" i="1"/>
  <c r="A13239" i="1"/>
  <c r="A13238" i="1"/>
  <c r="A13237" i="1"/>
  <c r="A13236" i="1"/>
  <c r="A13235" i="1"/>
  <c r="A13234" i="1"/>
  <c r="A13233" i="1"/>
  <c r="A13232" i="1"/>
  <c r="A13231" i="1"/>
  <c r="A13230" i="1"/>
  <c r="A13229" i="1"/>
  <c r="A13228" i="1"/>
  <c r="A13227" i="1"/>
  <c r="A13226" i="1"/>
  <c r="A13225" i="1"/>
  <c r="A13224" i="1"/>
  <c r="A13223" i="1"/>
  <c r="A13222" i="1"/>
  <c r="A13221" i="1"/>
  <c r="A13220" i="1"/>
  <c r="A13219" i="1"/>
  <c r="A13218" i="1"/>
  <c r="A13217" i="1"/>
  <c r="A13216" i="1"/>
  <c r="A13215" i="1"/>
  <c r="A13214" i="1"/>
  <c r="A13213" i="1"/>
  <c r="A13212" i="1"/>
  <c r="A13211" i="1"/>
  <c r="A13210" i="1"/>
  <c r="A13209" i="1"/>
  <c r="A13208" i="1"/>
  <c r="A13207" i="1"/>
  <c r="A13206" i="1"/>
  <c r="A13205" i="1"/>
  <c r="A13204" i="1"/>
  <c r="A13203" i="1"/>
  <c r="A13202" i="1"/>
  <c r="A13201" i="1"/>
  <c r="A13200" i="1"/>
  <c r="A13199" i="1"/>
  <c r="A13198" i="1"/>
  <c r="A13197" i="1"/>
  <c r="A13196" i="1"/>
  <c r="A13195" i="1"/>
  <c r="A13194" i="1"/>
  <c r="A13193" i="1"/>
  <c r="A13192" i="1"/>
  <c r="A13191" i="1"/>
  <c r="A13190" i="1"/>
  <c r="A13189" i="1"/>
  <c r="A13188" i="1"/>
  <c r="A13187" i="1"/>
  <c r="A13186" i="1"/>
  <c r="A13185" i="1"/>
  <c r="A13184" i="1"/>
  <c r="A13183" i="1"/>
  <c r="A13182" i="1"/>
  <c r="A13181" i="1"/>
  <c r="A13180" i="1"/>
  <c r="A13179" i="1"/>
  <c r="A13178" i="1"/>
  <c r="A13177" i="1"/>
  <c r="A13176" i="1"/>
  <c r="A13175" i="1"/>
  <c r="A13174" i="1"/>
  <c r="A13173" i="1"/>
  <c r="A13172" i="1"/>
  <c r="A13171" i="1"/>
  <c r="A13170" i="1"/>
  <c r="A13169" i="1"/>
  <c r="A13168" i="1"/>
  <c r="A13167" i="1"/>
  <c r="A13166" i="1"/>
  <c r="A13165" i="1"/>
  <c r="A13164" i="1"/>
  <c r="A13163" i="1"/>
  <c r="A13162" i="1"/>
  <c r="A13161" i="1"/>
  <c r="A13160" i="1"/>
  <c r="A13159" i="1"/>
  <c r="A13158" i="1"/>
  <c r="A13157" i="1"/>
  <c r="A13156" i="1"/>
  <c r="A13155" i="1"/>
  <c r="A13154" i="1"/>
  <c r="A13153" i="1"/>
  <c r="A13152" i="1"/>
  <c r="A13151" i="1"/>
  <c r="A13150" i="1"/>
  <c r="A13149" i="1"/>
  <c r="A13148" i="1"/>
  <c r="A13147" i="1"/>
  <c r="A13146" i="1"/>
  <c r="A13145" i="1"/>
  <c r="A13144" i="1"/>
  <c r="A13143" i="1"/>
  <c r="A13142" i="1"/>
  <c r="A13141" i="1"/>
  <c r="A13140" i="1"/>
  <c r="A13139" i="1"/>
  <c r="A13138" i="1"/>
  <c r="A13137" i="1"/>
  <c r="A13136" i="1"/>
  <c r="A13135" i="1"/>
  <c r="A13134" i="1"/>
  <c r="A13133" i="1"/>
  <c r="A13132" i="1"/>
  <c r="A13131" i="1"/>
  <c r="A13130" i="1"/>
  <c r="A13129" i="1"/>
  <c r="A13128" i="1"/>
  <c r="A13127" i="1"/>
  <c r="A13126" i="1"/>
  <c r="A13125" i="1"/>
  <c r="A13124" i="1"/>
  <c r="A13123" i="1"/>
  <c r="A13122" i="1"/>
  <c r="A13121" i="1"/>
  <c r="A13120" i="1"/>
  <c r="A13119" i="1"/>
  <c r="A13118" i="1"/>
  <c r="A13117" i="1"/>
  <c r="A13116" i="1"/>
  <c r="A13115" i="1"/>
  <c r="A13114" i="1"/>
  <c r="A13113" i="1"/>
  <c r="A13112" i="1"/>
  <c r="A13111" i="1"/>
  <c r="A13110" i="1"/>
  <c r="A13109" i="1"/>
  <c r="A13108" i="1"/>
  <c r="A13107" i="1"/>
  <c r="A13106" i="1"/>
  <c r="A13105" i="1"/>
  <c r="A13104" i="1"/>
  <c r="A13103" i="1"/>
  <c r="A13102" i="1"/>
  <c r="A13101" i="1"/>
  <c r="A13100" i="1"/>
  <c r="A13099" i="1"/>
  <c r="A13098" i="1"/>
  <c r="A13097" i="1"/>
  <c r="A13096" i="1"/>
  <c r="A13095" i="1"/>
  <c r="A13094" i="1"/>
  <c r="A13093" i="1"/>
  <c r="A13092" i="1"/>
  <c r="A13091" i="1"/>
  <c r="A13090" i="1"/>
  <c r="A13089" i="1"/>
  <c r="A13088" i="1"/>
  <c r="A13087" i="1"/>
  <c r="A13086" i="1"/>
  <c r="A13085" i="1"/>
  <c r="A13084" i="1"/>
  <c r="A13083" i="1"/>
  <c r="A13082" i="1"/>
  <c r="A13081" i="1"/>
  <c r="A13080" i="1"/>
  <c r="A13079" i="1"/>
  <c r="A13078" i="1"/>
  <c r="A13077" i="1"/>
  <c r="A13076" i="1"/>
  <c r="A13075" i="1"/>
  <c r="A13074" i="1"/>
  <c r="A13073" i="1"/>
  <c r="A13072" i="1"/>
  <c r="A13071" i="1"/>
  <c r="A13070" i="1"/>
  <c r="A13069" i="1"/>
  <c r="A13068" i="1"/>
  <c r="A13067" i="1"/>
  <c r="A13066" i="1"/>
  <c r="A13065" i="1"/>
  <c r="A13064" i="1"/>
  <c r="A13063" i="1"/>
  <c r="A13062" i="1"/>
  <c r="A13061" i="1"/>
  <c r="A13060" i="1"/>
  <c r="A13059" i="1"/>
  <c r="A13058" i="1"/>
  <c r="A13057" i="1"/>
  <c r="A13056" i="1"/>
  <c r="A13055" i="1"/>
  <c r="A13054" i="1"/>
  <c r="A13053" i="1"/>
  <c r="A13052" i="1"/>
  <c r="A13051" i="1"/>
  <c r="A13050" i="1"/>
  <c r="A13049" i="1"/>
  <c r="A13048" i="1"/>
  <c r="A13047" i="1"/>
  <c r="A13046" i="1"/>
  <c r="A13045" i="1"/>
  <c r="A13044" i="1"/>
  <c r="A13043" i="1"/>
  <c r="A13042" i="1"/>
  <c r="A13041" i="1"/>
  <c r="A13040" i="1"/>
  <c r="A13039" i="1"/>
  <c r="A13038" i="1"/>
  <c r="A13037" i="1"/>
  <c r="A13036" i="1"/>
  <c r="A13035" i="1"/>
  <c r="A13034" i="1"/>
  <c r="A13033" i="1"/>
  <c r="A13032" i="1"/>
  <c r="A13031" i="1"/>
  <c r="A13030" i="1"/>
  <c r="A13029" i="1"/>
  <c r="A13028" i="1"/>
  <c r="A13027" i="1"/>
  <c r="A13026" i="1"/>
  <c r="A13025" i="1"/>
  <c r="A13024" i="1"/>
  <c r="A13023" i="1"/>
  <c r="A13022" i="1"/>
  <c r="A13021" i="1"/>
  <c r="A13020" i="1"/>
  <c r="A13019" i="1"/>
  <c r="A13018" i="1"/>
  <c r="A13017" i="1"/>
  <c r="A13016" i="1"/>
  <c r="A13015" i="1"/>
  <c r="A13014" i="1"/>
  <c r="A13013" i="1"/>
  <c r="A13012" i="1"/>
  <c r="A13011" i="1"/>
  <c r="A13010" i="1"/>
  <c r="A13009" i="1"/>
  <c r="A13008" i="1"/>
  <c r="A13007" i="1"/>
  <c r="A13006" i="1"/>
  <c r="A13005" i="1"/>
  <c r="A13004" i="1"/>
  <c r="A13003" i="1"/>
  <c r="A13002" i="1"/>
  <c r="A13001" i="1"/>
  <c r="A13000" i="1"/>
  <c r="A12999" i="1"/>
  <c r="A12998" i="1"/>
  <c r="A12997" i="1"/>
  <c r="A12996" i="1"/>
  <c r="A12995" i="1"/>
  <c r="A12994" i="1"/>
  <c r="A12993" i="1"/>
  <c r="A12992" i="1"/>
  <c r="A12991" i="1"/>
  <c r="A12990" i="1"/>
  <c r="A12989" i="1"/>
  <c r="A12988" i="1"/>
  <c r="A12987" i="1"/>
  <c r="A12986" i="1"/>
  <c r="A12985" i="1"/>
  <c r="A12984" i="1"/>
  <c r="A12983" i="1"/>
  <c r="A12982" i="1"/>
  <c r="A12981" i="1"/>
  <c r="A12980" i="1"/>
  <c r="A12979" i="1"/>
  <c r="A12978" i="1"/>
  <c r="A12977" i="1"/>
  <c r="A12976" i="1"/>
  <c r="A12975" i="1"/>
  <c r="A12974" i="1"/>
  <c r="A12973" i="1"/>
  <c r="A12972" i="1"/>
  <c r="A12971" i="1"/>
  <c r="A12970" i="1"/>
  <c r="A12969" i="1"/>
  <c r="A12968" i="1"/>
  <c r="A12967" i="1"/>
  <c r="A12966" i="1"/>
  <c r="A12965" i="1"/>
  <c r="A12964" i="1"/>
  <c r="A12963" i="1"/>
  <c r="A12962" i="1"/>
  <c r="A12961" i="1"/>
  <c r="A12960" i="1"/>
  <c r="A12959" i="1"/>
  <c r="A12958" i="1"/>
  <c r="A12957" i="1"/>
  <c r="A12956" i="1"/>
  <c r="A12955" i="1"/>
  <c r="A12954" i="1"/>
  <c r="A12953" i="1"/>
  <c r="A12952" i="1"/>
  <c r="A12951" i="1"/>
  <c r="A12950" i="1"/>
  <c r="A12949" i="1"/>
  <c r="A12948" i="1"/>
  <c r="A12947" i="1"/>
  <c r="A12946" i="1"/>
  <c r="A12945" i="1"/>
  <c r="A12944" i="1"/>
  <c r="A12943" i="1"/>
  <c r="A12942" i="1"/>
  <c r="A12941" i="1"/>
  <c r="A12940" i="1"/>
  <c r="A12939" i="1"/>
  <c r="A12938" i="1"/>
  <c r="A12937" i="1"/>
  <c r="A12936" i="1"/>
  <c r="A12935" i="1"/>
  <c r="A12934" i="1"/>
  <c r="A12933" i="1"/>
  <c r="A12932" i="1"/>
  <c r="A12931" i="1"/>
  <c r="A12930" i="1"/>
  <c r="A12929" i="1"/>
  <c r="A12928" i="1"/>
  <c r="A12927" i="1"/>
  <c r="A12926" i="1"/>
  <c r="A12925" i="1"/>
  <c r="A12924" i="1"/>
  <c r="A12923" i="1"/>
  <c r="A12922" i="1"/>
  <c r="A12921" i="1"/>
  <c r="A12920" i="1"/>
  <c r="A12919" i="1"/>
  <c r="A12918" i="1"/>
  <c r="A12917" i="1"/>
  <c r="A12916" i="1"/>
  <c r="A12915" i="1"/>
  <c r="A12914" i="1"/>
  <c r="A12913" i="1"/>
  <c r="A12912" i="1"/>
  <c r="A12911" i="1"/>
  <c r="A12910" i="1"/>
  <c r="A12909" i="1"/>
  <c r="A12908" i="1"/>
  <c r="A12907" i="1"/>
  <c r="A12906" i="1"/>
  <c r="A12905" i="1"/>
  <c r="A12904" i="1"/>
  <c r="A12903" i="1"/>
  <c r="A12902" i="1"/>
  <c r="A12901" i="1"/>
  <c r="A12900" i="1"/>
  <c r="A12899" i="1"/>
  <c r="A12898" i="1"/>
  <c r="A12897" i="1"/>
  <c r="A12896" i="1"/>
  <c r="A12895" i="1"/>
  <c r="A12894" i="1"/>
  <c r="A12893" i="1"/>
  <c r="A12892" i="1"/>
  <c r="A12891" i="1"/>
  <c r="A12890" i="1"/>
  <c r="A12889" i="1"/>
  <c r="A12888" i="1"/>
  <c r="A12887" i="1"/>
  <c r="A12886" i="1"/>
  <c r="A12885" i="1"/>
  <c r="A12884" i="1"/>
  <c r="A12883" i="1"/>
  <c r="A12882" i="1"/>
  <c r="A12881" i="1"/>
  <c r="A12880" i="1"/>
  <c r="A12879" i="1"/>
  <c r="A12878" i="1"/>
  <c r="A12877" i="1"/>
  <c r="A12876" i="1"/>
  <c r="A12875" i="1"/>
  <c r="A12874" i="1"/>
  <c r="A12873" i="1"/>
  <c r="A12872" i="1"/>
  <c r="A12871" i="1"/>
  <c r="A12870" i="1"/>
  <c r="A12869" i="1"/>
  <c r="A12868" i="1"/>
  <c r="A12867" i="1"/>
  <c r="A12866" i="1"/>
  <c r="A12865" i="1"/>
  <c r="A12864" i="1"/>
  <c r="A12863" i="1"/>
  <c r="A12862" i="1"/>
  <c r="A12861" i="1"/>
  <c r="A12860" i="1"/>
  <c r="A12859" i="1"/>
  <c r="A12858" i="1"/>
  <c r="A12857" i="1"/>
  <c r="A12856" i="1"/>
  <c r="A12855" i="1"/>
  <c r="A12854" i="1"/>
  <c r="A12853" i="1"/>
  <c r="A12852" i="1"/>
  <c r="A12851" i="1"/>
  <c r="A12850" i="1"/>
  <c r="A12849" i="1"/>
  <c r="A12848" i="1"/>
  <c r="A12847" i="1"/>
  <c r="A12846" i="1"/>
  <c r="A12845" i="1"/>
  <c r="A12844" i="1"/>
  <c r="A12843" i="1"/>
  <c r="A12842" i="1"/>
  <c r="A12841" i="1"/>
  <c r="A12840" i="1"/>
  <c r="A12839" i="1"/>
  <c r="A12838" i="1"/>
  <c r="A12837" i="1"/>
  <c r="A12836" i="1"/>
  <c r="A12835" i="1"/>
  <c r="A12834" i="1"/>
  <c r="A12833" i="1"/>
  <c r="A12832" i="1"/>
  <c r="A12831" i="1"/>
  <c r="A12830" i="1"/>
  <c r="A12829" i="1"/>
  <c r="A12828" i="1"/>
  <c r="A12827" i="1"/>
  <c r="A12826" i="1"/>
  <c r="A12825" i="1"/>
  <c r="A12824" i="1"/>
  <c r="A12823" i="1"/>
  <c r="A12822" i="1"/>
  <c r="A12821" i="1"/>
  <c r="A12820" i="1"/>
  <c r="A12819" i="1"/>
  <c r="A12818" i="1"/>
  <c r="A12817" i="1"/>
  <c r="A12816" i="1"/>
  <c r="A12815" i="1"/>
  <c r="A12814" i="1"/>
  <c r="A12813" i="1"/>
  <c r="A12812" i="1"/>
  <c r="A12811" i="1"/>
  <c r="A12810" i="1"/>
  <c r="A12809" i="1"/>
  <c r="A12808" i="1"/>
  <c r="A12807" i="1"/>
  <c r="A12806" i="1"/>
  <c r="A12805" i="1"/>
  <c r="A12804" i="1"/>
  <c r="A12803" i="1"/>
  <c r="A12802" i="1"/>
  <c r="A12801" i="1"/>
  <c r="A12800" i="1"/>
  <c r="A12799" i="1"/>
  <c r="A12798" i="1"/>
  <c r="A12797" i="1"/>
  <c r="A12796" i="1"/>
  <c r="A12795" i="1"/>
  <c r="A12794" i="1"/>
  <c r="A12793" i="1"/>
  <c r="A12792" i="1"/>
  <c r="A12791" i="1"/>
  <c r="A12790" i="1"/>
  <c r="A12789" i="1"/>
  <c r="A12788" i="1"/>
  <c r="A12787" i="1"/>
  <c r="A12786" i="1"/>
  <c r="A12785" i="1"/>
  <c r="A12784" i="1"/>
  <c r="A12783" i="1"/>
  <c r="A12782" i="1"/>
  <c r="A12781" i="1"/>
  <c r="A12780" i="1"/>
  <c r="A12779" i="1"/>
  <c r="A12778" i="1"/>
  <c r="A12777" i="1"/>
  <c r="A12776" i="1"/>
  <c r="A12775" i="1"/>
  <c r="A12774" i="1"/>
  <c r="A12773" i="1"/>
  <c r="A12772" i="1"/>
  <c r="A12771" i="1"/>
  <c r="A12770" i="1"/>
  <c r="A12769" i="1"/>
  <c r="A12768" i="1"/>
  <c r="A12767" i="1"/>
  <c r="A12766" i="1"/>
  <c r="A12765" i="1"/>
  <c r="A12764" i="1"/>
  <c r="A12763" i="1"/>
  <c r="A12762" i="1"/>
  <c r="A12761" i="1"/>
  <c r="A12760" i="1"/>
  <c r="A12759" i="1"/>
  <c r="A12758" i="1"/>
  <c r="A12757" i="1"/>
  <c r="A12756" i="1"/>
  <c r="A12755" i="1"/>
  <c r="A12754" i="1"/>
  <c r="A12753" i="1"/>
  <c r="A12752" i="1"/>
  <c r="A12751" i="1"/>
  <c r="A12750" i="1"/>
  <c r="A12749" i="1"/>
  <c r="A12748" i="1"/>
  <c r="A12747" i="1"/>
  <c r="A12746" i="1"/>
  <c r="A12745" i="1"/>
  <c r="A12744" i="1"/>
  <c r="A12743" i="1"/>
  <c r="A12742" i="1"/>
  <c r="A12741" i="1"/>
  <c r="A12740" i="1"/>
  <c r="A12739" i="1"/>
  <c r="A12738" i="1"/>
  <c r="A12737" i="1"/>
  <c r="A12736" i="1"/>
  <c r="A12735" i="1"/>
  <c r="A12734" i="1"/>
  <c r="A12733" i="1"/>
  <c r="A12732" i="1"/>
  <c r="A12731" i="1"/>
  <c r="A12730" i="1"/>
  <c r="A12729" i="1"/>
  <c r="A12728" i="1"/>
  <c r="A12727" i="1"/>
  <c r="A12726" i="1"/>
  <c r="A12725" i="1"/>
  <c r="A12724" i="1"/>
  <c r="A12723" i="1"/>
  <c r="A12722" i="1"/>
  <c r="A12721" i="1"/>
  <c r="A12720" i="1"/>
  <c r="A12719" i="1"/>
  <c r="A12718" i="1"/>
  <c r="A12717" i="1"/>
  <c r="A12716" i="1"/>
  <c r="A12715" i="1"/>
  <c r="A12714" i="1"/>
  <c r="A12713" i="1"/>
  <c r="A12712" i="1"/>
  <c r="A12711" i="1"/>
  <c r="A12710" i="1"/>
  <c r="A12709" i="1"/>
  <c r="A12708" i="1"/>
  <c r="A12707" i="1"/>
  <c r="A12706" i="1"/>
  <c r="A12705" i="1"/>
  <c r="A12704" i="1"/>
  <c r="A12703" i="1"/>
  <c r="A12702" i="1"/>
  <c r="A12701" i="1"/>
  <c r="A12700" i="1"/>
  <c r="A12699" i="1"/>
  <c r="A12698" i="1"/>
  <c r="A12697" i="1"/>
  <c r="A12696" i="1"/>
  <c r="A12695" i="1"/>
  <c r="A12694" i="1"/>
  <c r="A12693" i="1"/>
  <c r="A12692" i="1"/>
  <c r="A12691" i="1"/>
  <c r="A12690" i="1"/>
  <c r="A12689" i="1"/>
  <c r="A12688" i="1"/>
  <c r="A12687" i="1"/>
  <c r="A12686" i="1"/>
  <c r="A12685" i="1"/>
  <c r="A12684" i="1"/>
  <c r="A12683" i="1"/>
  <c r="A12682" i="1"/>
  <c r="A12681" i="1"/>
  <c r="A12680" i="1"/>
  <c r="A12679" i="1"/>
  <c r="A12678" i="1"/>
  <c r="A12677" i="1"/>
  <c r="A12676" i="1"/>
  <c r="A12675" i="1"/>
  <c r="A12674" i="1"/>
  <c r="A12673" i="1"/>
  <c r="A12672" i="1"/>
  <c r="A12671" i="1"/>
  <c r="A12670" i="1"/>
  <c r="A12669" i="1"/>
  <c r="A12668" i="1"/>
  <c r="A12667" i="1"/>
  <c r="A12666" i="1"/>
  <c r="A12665" i="1"/>
  <c r="A12664" i="1"/>
  <c r="A12663" i="1"/>
  <c r="A12662" i="1"/>
  <c r="A12661" i="1"/>
  <c r="A12660" i="1"/>
  <c r="A12659" i="1"/>
  <c r="A12658" i="1"/>
  <c r="A12657" i="1"/>
  <c r="A12656" i="1"/>
  <c r="A12655" i="1"/>
  <c r="A12654" i="1"/>
  <c r="A12653" i="1"/>
  <c r="A12652" i="1"/>
  <c r="A12651" i="1"/>
  <c r="A12650" i="1"/>
  <c r="A12649" i="1"/>
  <c r="A12648" i="1"/>
  <c r="A12647" i="1"/>
  <c r="A12646" i="1"/>
  <c r="A12645" i="1"/>
  <c r="A12644" i="1"/>
  <c r="A12643" i="1"/>
  <c r="A12642" i="1"/>
  <c r="A12641" i="1"/>
  <c r="A12640" i="1"/>
  <c r="A12639" i="1"/>
  <c r="A12638" i="1"/>
  <c r="A12637" i="1"/>
  <c r="A12636" i="1"/>
  <c r="A12635" i="1"/>
  <c r="A12634" i="1"/>
  <c r="A12633" i="1"/>
  <c r="A12632" i="1"/>
  <c r="A12631" i="1"/>
  <c r="A12630" i="1"/>
  <c r="A12629" i="1"/>
  <c r="A12628" i="1"/>
  <c r="A12627" i="1"/>
  <c r="A12626" i="1"/>
  <c r="A12625" i="1"/>
  <c r="A12624" i="1"/>
  <c r="A12623" i="1"/>
  <c r="A12622" i="1"/>
  <c r="A12621" i="1"/>
  <c r="A12620" i="1"/>
  <c r="A12619" i="1"/>
  <c r="A12618" i="1"/>
  <c r="A12617" i="1"/>
  <c r="A12616" i="1"/>
  <c r="A12615" i="1"/>
  <c r="A12614" i="1"/>
  <c r="A12613" i="1"/>
  <c r="A12612" i="1"/>
  <c r="A12611" i="1"/>
  <c r="A12610" i="1"/>
  <c r="A12609" i="1"/>
  <c r="A12608" i="1"/>
  <c r="A12607" i="1"/>
  <c r="A12606" i="1"/>
  <c r="A12605" i="1"/>
  <c r="A12604" i="1"/>
  <c r="A12603" i="1"/>
  <c r="A12602" i="1"/>
  <c r="A12601" i="1"/>
  <c r="A12600" i="1"/>
  <c r="A12599" i="1"/>
  <c r="A12598" i="1"/>
  <c r="A12597" i="1"/>
  <c r="A12596" i="1"/>
  <c r="A12595" i="1"/>
  <c r="A12594" i="1"/>
  <c r="A12593" i="1"/>
  <c r="A12592" i="1"/>
  <c r="A12591" i="1"/>
  <c r="A12590" i="1"/>
  <c r="A12589" i="1"/>
  <c r="A12588" i="1"/>
  <c r="A12587" i="1"/>
  <c r="A12586" i="1"/>
  <c r="A12585" i="1"/>
  <c r="A12584" i="1"/>
  <c r="A12583" i="1"/>
  <c r="A12582" i="1"/>
  <c r="A12581" i="1"/>
  <c r="A12580" i="1"/>
  <c r="A12579" i="1"/>
  <c r="A12578" i="1"/>
  <c r="A12577" i="1"/>
  <c r="A12576" i="1"/>
  <c r="A12575" i="1"/>
  <c r="A12574" i="1"/>
  <c r="A12573" i="1"/>
  <c r="A12572" i="1"/>
  <c r="A12571" i="1"/>
  <c r="A12570" i="1"/>
  <c r="A12569" i="1"/>
  <c r="A12568" i="1"/>
  <c r="A12567" i="1"/>
  <c r="A12566" i="1"/>
  <c r="A12565" i="1"/>
  <c r="A12564" i="1"/>
  <c r="A12563" i="1"/>
  <c r="A12562" i="1"/>
  <c r="A12561" i="1"/>
  <c r="A12560" i="1"/>
  <c r="A12559" i="1"/>
  <c r="A12558" i="1"/>
  <c r="A12557" i="1"/>
  <c r="A12556" i="1"/>
  <c r="A12555" i="1"/>
  <c r="A12554" i="1"/>
  <c r="A12553" i="1"/>
  <c r="A12552" i="1"/>
  <c r="A12551" i="1"/>
  <c r="A12550" i="1"/>
  <c r="A12549" i="1"/>
  <c r="A12548" i="1"/>
  <c r="A12547" i="1"/>
  <c r="A12546" i="1"/>
  <c r="A12545" i="1"/>
  <c r="A12544" i="1"/>
  <c r="A12543" i="1"/>
  <c r="A12542" i="1"/>
  <c r="A12541" i="1"/>
  <c r="A12540" i="1"/>
  <c r="A12539" i="1"/>
  <c r="A12538" i="1"/>
  <c r="A12537" i="1"/>
  <c r="A12536" i="1"/>
  <c r="A12535" i="1"/>
  <c r="A12534" i="1"/>
  <c r="A12533" i="1"/>
  <c r="A12532" i="1"/>
  <c r="A12531" i="1"/>
  <c r="A12530" i="1"/>
  <c r="A12529" i="1"/>
  <c r="A12528" i="1"/>
  <c r="A12527" i="1"/>
  <c r="A12526" i="1"/>
  <c r="A12525" i="1"/>
  <c r="A12524" i="1"/>
  <c r="A12523" i="1"/>
  <c r="A12522" i="1"/>
  <c r="A12521" i="1"/>
  <c r="A12520" i="1"/>
  <c r="A12519" i="1"/>
  <c r="A12518" i="1"/>
  <c r="A12517" i="1"/>
  <c r="A12516" i="1"/>
  <c r="A12515" i="1"/>
  <c r="A12514" i="1"/>
  <c r="A12513" i="1"/>
  <c r="A12512" i="1"/>
  <c r="A12511" i="1"/>
  <c r="A12510" i="1"/>
  <c r="A12509" i="1"/>
  <c r="A12508" i="1"/>
  <c r="A12507" i="1"/>
  <c r="A12506" i="1"/>
  <c r="A12505" i="1"/>
  <c r="A12504" i="1"/>
  <c r="A12503" i="1"/>
  <c r="A12502" i="1"/>
  <c r="A12501" i="1"/>
  <c r="A12500" i="1"/>
  <c r="A12499" i="1"/>
  <c r="A12498" i="1"/>
  <c r="A12497" i="1"/>
  <c r="A12496" i="1"/>
  <c r="A12495" i="1"/>
  <c r="A12494" i="1"/>
  <c r="A12493" i="1"/>
  <c r="A12492" i="1"/>
  <c r="A12491" i="1"/>
  <c r="A12490" i="1"/>
  <c r="A12489" i="1"/>
  <c r="A12488" i="1"/>
  <c r="A12487" i="1"/>
  <c r="A12486" i="1"/>
  <c r="A12485" i="1"/>
  <c r="A12484" i="1"/>
  <c r="A12483" i="1"/>
  <c r="A12482" i="1"/>
  <c r="A12481" i="1"/>
  <c r="A12480" i="1"/>
  <c r="A12479" i="1"/>
  <c r="A12478" i="1"/>
  <c r="A12477" i="1"/>
  <c r="A12476" i="1"/>
  <c r="A12475" i="1"/>
  <c r="A12474" i="1"/>
  <c r="A12473" i="1"/>
  <c r="A12472" i="1"/>
  <c r="A12471" i="1"/>
  <c r="A12470" i="1"/>
  <c r="A12469" i="1"/>
  <c r="A12468" i="1"/>
  <c r="A12467" i="1"/>
  <c r="A12466" i="1"/>
  <c r="A12465" i="1"/>
  <c r="A12464" i="1"/>
  <c r="A12463" i="1"/>
  <c r="A12462" i="1"/>
  <c r="A12461" i="1"/>
  <c r="A12460" i="1"/>
  <c r="A12459" i="1"/>
  <c r="A12458" i="1"/>
  <c r="A12457" i="1"/>
  <c r="A12456" i="1"/>
  <c r="A12455" i="1"/>
  <c r="A12454" i="1"/>
  <c r="A12453" i="1"/>
  <c r="A12452" i="1"/>
  <c r="A12451" i="1"/>
  <c r="A12450" i="1"/>
  <c r="A12449" i="1"/>
  <c r="A12448" i="1"/>
  <c r="A12447" i="1"/>
  <c r="A12446" i="1"/>
  <c r="A12445" i="1"/>
  <c r="A12444" i="1"/>
  <c r="A12443" i="1"/>
  <c r="A12442" i="1"/>
  <c r="A12441" i="1"/>
  <c r="A12440" i="1"/>
  <c r="A12439" i="1"/>
  <c r="A12438" i="1"/>
  <c r="A12437" i="1"/>
  <c r="A12436" i="1"/>
  <c r="A12435" i="1"/>
  <c r="A12434" i="1"/>
  <c r="A12433" i="1"/>
  <c r="A12432" i="1"/>
  <c r="A12431" i="1"/>
  <c r="A12430" i="1"/>
  <c r="A12429" i="1"/>
  <c r="A12428" i="1"/>
  <c r="A12427" i="1"/>
  <c r="A12426" i="1"/>
  <c r="A12425" i="1"/>
  <c r="A12424" i="1"/>
  <c r="A12423" i="1"/>
  <c r="A12422" i="1"/>
  <c r="A12421" i="1"/>
  <c r="A12420" i="1"/>
  <c r="A12419" i="1"/>
  <c r="A12418" i="1"/>
  <c r="A12417" i="1"/>
  <c r="A12416" i="1"/>
  <c r="A12415" i="1"/>
  <c r="A12414" i="1"/>
  <c r="A12413" i="1"/>
  <c r="A12412" i="1"/>
  <c r="A12411" i="1"/>
  <c r="A12410" i="1"/>
  <c r="A12409" i="1"/>
  <c r="A12408" i="1"/>
  <c r="A12407" i="1"/>
  <c r="A12406" i="1"/>
  <c r="A12405" i="1"/>
  <c r="A12404" i="1"/>
  <c r="A12403" i="1"/>
  <c r="A12402" i="1"/>
  <c r="A12401" i="1"/>
  <c r="A12400" i="1"/>
  <c r="A12399" i="1"/>
  <c r="A12398" i="1"/>
  <c r="A12397" i="1"/>
  <c r="A12396" i="1"/>
  <c r="A12395" i="1"/>
  <c r="A12394" i="1"/>
  <c r="A12393" i="1"/>
  <c r="A12392" i="1"/>
  <c r="A12391" i="1"/>
  <c r="A12390" i="1"/>
  <c r="A12389" i="1"/>
  <c r="A12388" i="1"/>
  <c r="A12387" i="1"/>
  <c r="A12386" i="1"/>
  <c r="A12385" i="1"/>
  <c r="A12384" i="1"/>
  <c r="A12383" i="1"/>
  <c r="A12382" i="1"/>
  <c r="A12381" i="1"/>
  <c r="A12380" i="1"/>
  <c r="A12379" i="1"/>
  <c r="A12378" i="1"/>
  <c r="A12377" i="1"/>
  <c r="A12376" i="1"/>
  <c r="A12375" i="1"/>
  <c r="A12374" i="1"/>
  <c r="A12373" i="1"/>
  <c r="A12372" i="1"/>
  <c r="A12371" i="1"/>
  <c r="A12370" i="1"/>
  <c r="A12369" i="1"/>
  <c r="A12368" i="1"/>
  <c r="A12367" i="1"/>
  <c r="A12366" i="1"/>
  <c r="A12365" i="1"/>
  <c r="A12364" i="1"/>
  <c r="A12363" i="1"/>
  <c r="A12362" i="1"/>
  <c r="A12361" i="1"/>
  <c r="A12360" i="1"/>
  <c r="A12359" i="1"/>
  <c r="A12358" i="1"/>
  <c r="A12357" i="1"/>
  <c r="A12356" i="1"/>
  <c r="A12355" i="1"/>
  <c r="A12354" i="1"/>
  <c r="A12353" i="1"/>
  <c r="A12352" i="1"/>
  <c r="A12351" i="1"/>
  <c r="A12350" i="1"/>
  <c r="A12349" i="1"/>
  <c r="A12348" i="1"/>
  <c r="A12347" i="1"/>
  <c r="A12346" i="1"/>
  <c r="A12345" i="1"/>
  <c r="A12344" i="1"/>
  <c r="A12343" i="1"/>
  <c r="A12342" i="1"/>
  <c r="A12341" i="1"/>
  <c r="A12340" i="1"/>
  <c r="A12339" i="1"/>
  <c r="A12338" i="1"/>
  <c r="A12337" i="1"/>
  <c r="A12336" i="1"/>
  <c r="A12335" i="1"/>
  <c r="A12334" i="1"/>
  <c r="A12333" i="1"/>
  <c r="A12332" i="1"/>
  <c r="A12331" i="1"/>
  <c r="A12330" i="1"/>
  <c r="A12329" i="1"/>
  <c r="A12328" i="1"/>
  <c r="A12327" i="1"/>
  <c r="A12326" i="1"/>
  <c r="A12325" i="1"/>
  <c r="A12324" i="1"/>
  <c r="A12323" i="1"/>
  <c r="A12322" i="1"/>
  <c r="A12321" i="1"/>
  <c r="A12320" i="1"/>
  <c r="A12319" i="1"/>
  <c r="A12318" i="1"/>
  <c r="A12317" i="1"/>
  <c r="A12316" i="1"/>
  <c r="A12315" i="1"/>
  <c r="A12314" i="1"/>
  <c r="A12313" i="1"/>
  <c r="A12312" i="1"/>
  <c r="A12311" i="1"/>
  <c r="A12310" i="1"/>
  <c r="A12309" i="1"/>
  <c r="A12308" i="1"/>
  <c r="A12307" i="1"/>
  <c r="A12306" i="1"/>
  <c r="A12305" i="1"/>
  <c r="A12304" i="1"/>
  <c r="A12303" i="1"/>
  <c r="A12302" i="1"/>
  <c r="A12301" i="1"/>
  <c r="A12300" i="1"/>
  <c r="A12299" i="1"/>
  <c r="A12298" i="1"/>
  <c r="A12297" i="1"/>
  <c r="A12296" i="1"/>
  <c r="A12295" i="1"/>
  <c r="A12294" i="1"/>
  <c r="A12293" i="1"/>
  <c r="A12292" i="1"/>
  <c r="A12291" i="1"/>
  <c r="A12290" i="1"/>
  <c r="A12289" i="1"/>
  <c r="A12288" i="1"/>
  <c r="A12287" i="1"/>
  <c r="A12286" i="1"/>
  <c r="A12285" i="1"/>
  <c r="A12284" i="1"/>
  <c r="A12283" i="1"/>
  <c r="A12282" i="1"/>
  <c r="A12281" i="1"/>
  <c r="A12280" i="1"/>
  <c r="A12279" i="1"/>
  <c r="A12278" i="1"/>
  <c r="A12277" i="1"/>
  <c r="A12276" i="1"/>
  <c r="A12275" i="1"/>
  <c r="A12274" i="1"/>
  <c r="A12273" i="1"/>
  <c r="A12272" i="1"/>
  <c r="A12271" i="1"/>
  <c r="A12270" i="1"/>
  <c r="A12269" i="1"/>
  <c r="A12268" i="1"/>
  <c r="A12267" i="1"/>
  <c r="A12266" i="1"/>
  <c r="A12265" i="1"/>
  <c r="A12264" i="1"/>
  <c r="A12263" i="1"/>
  <c r="A12262" i="1"/>
  <c r="A12261" i="1"/>
  <c r="A12260" i="1"/>
  <c r="A12259" i="1"/>
  <c r="A12258" i="1"/>
  <c r="A12257" i="1"/>
  <c r="A12256" i="1"/>
  <c r="A12255" i="1"/>
  <c r="A12254" i="1"/>
  <c r="A12253" i="1"/>
  <c r="A12252" i="1"/>
  <c r="A12251" i="1"/>
  <c r="A12250" i="1"/>
  <c r="A12249" i="1"/>
  <c r="A12248" i="1"/>
  <c r="A12247" i="1"/>
  <c r="A12246" i="1"/>
  <c r="A12245" i="1"/>
  <c r="A12244" i="1"/>
  <c r="A12243" i="1"/>
  <c r="A12242" i="1"/>
  <c r="A12241" i="1"/>
  <c r="A12240" i="1"/>
  <c r="A12239" i="1"/>
  <c r="A12238" i="1"/>
  <c r="A12237" i="1"/>
  <c r="A12236" i="1"/>
  <c r="A12235" i="1"/>
  <c r="A12234" i="1"/>
  <c r="A12233" i="1"/>
  <c r="A12232" i="1"/>
  <c r="A12231" i="1"/>
  <c r="A12230" i="1"/>
  <c r="A12229" i="1"/>
  <c r="A12228" i="1"/>
  <c r="A12227" i="1"/>
  <c r="A12226" i="1"/>
  <c r="A12225" i="1"/>
  <c r="A12224" i="1"/>
  <c r="A12223" i="1"/>
  <c r="A12222" i="1"/>
  <c r="A12221" i="1"/>
  <c r="A12220" i="1"/>
  <c r="A12219" i="1"/>
  <c r="A12218" i="1"/>
  <c r="A12217" i="1"/>
  <c r="A12216" i="1"/>
  <c r="A12215" i="1"/>
  <c r="A12214" i="1"/>
  <c r="A12213" i="1"/>
  <c r="A12212" i="1"/>
  <c r="A12211" i="1"/>
  <c r="A12210" i="1"/>
  <c r="A12209" i="1"/>
  <c r="A12208" i="1"/>
  <c r="A12207" i="1"/>
  <c r="A12206" i="1"/>
  <c r="A12205" i="1"/>
  <c r="A12204" i="1"/>
  <c r="A12203" i="1"/>
  <c r="A12202" i="1"/>
  <c r="A12201" i="1"/>
  <c r="A12200" i="1"/>
  <c r="A12199" i="1"/>
  <c r="A12198" i="1"/>
  <c r="A12197" i="1"/>
  <c r="A12196" i="1"/>
  <c r="A12195" i="1"/>
  <c r="A12194" i="1"/>
  <c r="A12193" i="1"/>
  <c r="A12192" i="1"/>
  <c r="A12191" i="1"/>
  <c r="A12190" i="1"/>
  <c r="A12189" i="1"/>
  <c r="A12188" i="1"/>
  <c r="A12187" i="1"/>
  <c r="A12186" i="1"/>
  <c r="A12185" i="1"/>
  <c r="A12184" i="1"/>
  <c r="A12183" i="1"/>
  <c r="A12182" i="1"/>
  <c r="A12181" i="1"/>
  <c r="A12180" i="1"/>
  <c r="A12179" i="1"/>
  <c r="A12178" i="1"/>
  <c r="A12177" i="1"/>
  <c r="A12176" i="1"/>
  <c r="A12175" i="1"/>
  <c r="A12174" i="1"/>
  <c r="A12173" i="1"/>
  <c r="A12172" i="1"/>
  <c r="A12171" i="1"/>
  <c r="A12170" i="1"/>
  <c r="A12169" i="1"/>
  <c r="A12168" i="1"/>
  <c r="A12167" i="1"/>
  <c r="A12166" i="1"/>
  <c r="A12165" i="1"/>
  <c r="A12164" i="1"/>
  <c r="A12163" i="1"/>
  <c r="A12162" i="1"/>
  <c r="A12161" i="1"/>
  <c r="A12160" i="1"/>
  <c r="A12159" i="1"/>
  <c r="A12158" i="1"/>
  <c r="A12157" i="1"/>
  <c r="A12156" i="1"/>
  <c r="A12155" i="1"/>
  <c r="A12154" i="1"/>
  <c r="A12153" i="1"/>
  <c r="A12152" i="1"/>
  <c r="A12151" i="1"/>
  <c r="A12150" i="1"/>
  <c r="A12149" i="1"/>
  <c r="A12148" i="1"/>
  <c r="A12147" i="1"/>
  <c r="A12146" i="1"/>
  <c r="A12145" i="1"/>
  <c r="A12144" i="1"/>
  <c r="A12143" i="1"/>
  <c r="A12142" i="1"/>
  <c r="A12141" i="1"/>
  <c r="A12140" i="1"/>
  <c r="A12139" i="1"/>
  <c r="A12138" i="1"/>
  <c r="A12137" i="1"/>
  <c r="A12136" i="1"/>
  <c r="A12135" i="1"/>
  <c r="A12134" i="1"/>
  <c r="A12133" i="1"/>
  <c r="A12132" i="1"/>
  <c r="A12131" i="1"/>
  <c r="A12130" i="1"/>
  <c r="A12129" i="1"/>
  <c r="A12128" i="1"/>
  <c r="A12127" i="1"/>
  <c r="A12126" i="1"/>
  <c r="A12125" i="1"/>
  <c r="A12124" i="1"/>
  <c r="A12123" i="1"/>
  <c r="A12122" i="1"/>
  <c r="A12121" i="1"/>
  <c r="A12120" i="1"/>
  <c r="A12119" i="1"/>
  <c r="A12118" i="1"/>
  <c r="A12117" i="1"/>
  <c r="A12116" i="1"/>
  <c r="A12115" i="1"/>
  <c r="A12114" i="1"/>
  <c r="A12113" i="1"/>
  <c r="A12112" i="1"/>
  <c r="A12111" i="1"/>
  <c r="A12110" i="1"/>
  <c r="A12109" i="1"/>
  <c r="A12108" i="1"/>
  <c r="A12107" i="1"/>
  <c r="A12106" i="1"/>
  <c r="A12105" i="1"/>
  <c r="A12104" i="1"/>
  <c r="A12103" i="1"/>
  <c r="A12102" i="1"/>
  <c r="A12101" i="1"/>
  <c r="A12100" i="1"/>
  <c r="A12099" i="1"/>
  <c r="A12098" i="1"/>
  <c r="A12097" i="1"/>
  <c r="A12096" i="1"/>
  <c r="A12095" i="1"/>
  <c r="A12094" i="1"/>
  <c r="A12093" i="1"/>
  <c r="A12092" i="1"/>
  <c r="A12091" i="1"/>
  <c r="A12090" i="1"/>
  <c r="A12089" i="1"/>
  <c r="A12088" i="1"/>
  <c r="A12087" i="1"/>
  <c r="A12086" i="1"/>
  <c r="A12085" i="1"/>
  <c r="A12084" i="1"/>
  <c r="A12083" i="1"/>
  <c r="A12082" i="1"/>
  <c r="A12081" i="1"/>
  <c r="A12080" i="1"/>
  <c r="A12079" i="1"/>
  <c r="A12078" i="1"/>
  <c r="A12077" i="1"/>
  <c r="A12076" i="1"/>
  <c r="A12075" i="1"/>
  <c r="A12074" i="1"/>
  <c r="A12073" i="1"/>
  <c r="A12072" i="1"/>
  <c r="A12071" i="1"/>
  <c r="A12070" i="1"/>
  <c r="A12069" i="1"/>
  <c r="A12068" i="1"/>
  <c r="A12067" i="1"/>
  <c r="A12066" i="1"/>
  <c r="A12065" i="1"/>
  <c r="A12064" i="1"/>
  <c r="A12063" i="1"/>
  <c r="A12062" i="1"/>
  <c r="A12061" i="1"/>
  <c r="A12060" i="1"/>
  <c r="A12059" i="1"/>
  <c r="A12058" i="1"/>
  <c r="A12057" i="1"/>
  <c r="A12056" i="1"/>
  <c r="A12055" i="1"/>
  <c r="A12054" i="1"/>
  <c r="A12053" i="1"/>
  <c r="A12052" i="1"/>
  <c r="A12051" i="1"/>
  <c r="A12050" i="1"/>
  <c r="A12049" i="1"/>
  <c r="A12048" i="1"/>
  <c r="A12047" i="1"/>
  <c r="A12046" i="1"/>
  <c r="A12045" i="1"/>
  <c r="A12044" i="1"/>
  <c r="A12043" i="1"/>
  <c r="A12042" i="1"/>
  <c r="A12041" i="1"/>
  <c r="A12040" i="1"/>
  <c r="A12039" i="1"/>
  <c r="A12038" i="1"/>
  <c r="A12037" i="1"/>
  <c r="A12036" i="1"/>
  <c r="A12035" i="1"/>
  <c r="A12034" i="1"/>
  <c r="A12033" i="1"/>
  <c r="A12032" i="1"/>
  <c r="A12031" i="1"/>
  <c r="A12030" i="1"/>
  <c r="A12029" i="1"/>
  <c r="A12028" i="1"/>
  <c r="A12027" i="1"/>
  <c r="A12026" i="1"/>
  <c r="A12025" i="1"/>
  <c r="A12024" i="1"/>
  <c r="A12023" i="1"/>
  <c r="A12022" i="1"/>
  <c r="A12021" i="1"/>
  <c r="A12020" i="1"/>
  <c r="A12019" i="1"/>
  <c r="A12018" i="1"/>
  <c r="A12017" i="1"/>
  <c r="A12016" i="1"/>
  <c r="A12015" i="1"/>
  <c r="A12014" i="1"/>
  <c r="A12013" i="1"/>
  <c r="A12012" i="1"/>
  <c r="A12011" i="1"/>
  <c r="A12010" i="1"/>
  <c r="A12009" i="1"/>
  <c r="A12008" i="1"/>
  <c r="A12007" i="1"/>
  <c r="A12006" i="1"/>
  <c r="A12005" i="1"/>
  <c r="A12004" i="1"/>
  <c r="A12003" i="1"/>
  <c r="A12002" i="1"/>
  <c r="A12001" i="1"/>
  <c r="A12000" i="1"/>
  <c r="A11999" i="1"/>
  <c r="A11998" i="1"/>
  <c r="A11997" i="1"/>
  <c r="A11996" i="1"/>
  <c r="A11995" i="1"/>
  <c r="A11994" i="1"/>
  <c r="A11993" i="1"/>
  <c r="A11992" i="1"/>
  <c r="A11991" i="1"/>
  <c r="A11990" i="1"/>
  <c r="A11989" i="1"/>
  <c r="A11988" i="1"/>
  <c r="A11987" i="1"/>
  <c r="A11986" i="1"/>
  <c r="A11985" i="1"/>
  <c r="A11984" i="1"/>
  <c r="A11983" i="1"/>
  <c r="A11982" i="1"/>
  <c r="A11981" i="1"/>
  <c r="A11980" i="1"/>
  <c r="A11979" i="1"/>
  <c r="A11978" i="1"/>
  <c r="A11977" i="1"/>
  <c r="A11976" i="1"/>
  <c r="A11975" i="1"/>
  <c r="A11974" i="1"/>
  <c r="A11973" i="1"/>
  <c r="A11972" i="1"/>
  <c r="A11971" i="1"/>
  <c r="A11970" i="1"/>
  <c r="A11969" i="1"/>
  <c r="A11968" i="1"/>
  <c r="A11967" i="1"/>
  <c r="A11966" i="1"/>
  <c r="A11965" i="1"/>
  <c r="A11964" i="1"/>
  <c r="A11963" i="1"/>
  <c r="A11962" i="1"/>
  <c r="A11961" i="1"/>
  <c r="A11960" i="1"/>
  <c r="A11959" i="1"/>
  <c r="A11958" i="1"/>
  <c r="A11957" i="1"/>
  <c r="A11956" i="1"/>
  <c r="A11955" i="1"/>
  <c r="A11954" i="1"/>
  <c r="A11953" i="1"/>
  <c r="A11952" i="1"/>
  <c r="A11951" i="1"/>
  <c r="A11950" i="1"/>
  <c r="A11949" i="1"/>
  <c r="A11948" i="1"/>
  <c r="A11947" i="1"/>
  <c r="A11946" i="1"/>
  <c r="A11945" i="1"/>
  <c r="A11944" i="1"/>
  <c r="A11943" i="1"/>
  <c r="A11942" i="1"/>
  <c r="A11941" i="1"/>
  <c r="A11940" i="1"/>
  <c r="A11939" i="1"/>
  <c r="A11938" i="1"/>
  <c r="A11937" i="1"/>
  <c r="A11936" i="1"/>
  <c r="A11935" i="1"/>
  <c r="A11934" i="1"/>
  <c r="A11933" i="1"/>
  <c r="A11932" i="1"/>
  <c r="A11931" i="1"/>
  <c r="A11930" i="1"/>
  <c r="A11929" i="1"/>
  <c r="A11928" i="1"/>
  <c r="A11927" i="1"/>
  <c r="A11926" i="1"/>
  <c r="A11925" i="1"/>
  <c r="A11924" i="1"/>
  <c r="A11923" i="1"/>
  <c r="A11922" i="1"/>
  <c r="A11921" i="1"/>
  <c r="A11920" i="1"/>
  <c r="A11919" i="1"/>
  <c r="A11918" i="1"/>
  <c r="A11917" i="1"/>
  <c r="A11916" i="1"/>
  <c r="A11915" i="1"/>
  <c r="A11914" i="1"/>
  <c r="A11913" i="1"/>
  <c r="A11912" i="1"/>
  <c r="A11911" i="1"/>
  <c r="A11910" i="1"/>
  <c r="A11909" i="1"/>
  <c r="A11908" i="1"/>
  <c r="A11907" i="1"/>
  <c r="A11906" i="1"/>
  <c r="A11905" i="1"/>
  <c r="A11904" i="1"/>
  <c r="A11903" i="1"/>
  <c r="A11902" i="1"/>
  <c r="A11901" i="1"/>
  <c r="A11900" i="1"/>
  <c r="A11899" i="1"/>
  <c r="A11898" i="1"/>
  <c r="A11897" i="1"/>
  <c r="A11896" i="1"/>
  <c r="A11895" i="1"/>
  <c r="A11894" i="1"/>
  <c r="A11893" i="1"/>
  <c r="A11892" i="1"/>
  <c r="A11891" i="1"/>
  <c r="A11890" i="1"/>
  <c r="A11889" i="1"/>
  <c r="A11888" i="1"/>
  <c r="A11887" i="1"/>
  <c r="A11886" i="1"/>
  <c r="A11885" i="1"/>
  <c r="A11884" i="1"/>
  <c r="A11883" i="1"/>
  <c r="A11882" i="1"/>
  <c r="A11881" i="1"/>
  <c r="A11880" i="1"/>
  <c r="A11879" i="1"/>
  <c r="A11878" i="1"/>
  <c r="A11877" i="1"/>
  <c r="A11876" i="1"/>
  <c r="A11875" i="1"/>
  <c r="A11874" i="1"/>
  <c r="A11873" i="1"/>
  <c r="A11872" i="1"/>
  <c r="A11871" i="1"/>
  <c r="A11870" i="1"/>
  <c r="A11869" i="1"/>
  <c r="A11868" i="1"/>
  <c r="A11867" i="1"/>
  <c r="A11866" i="1"/>
  <c r="A11865" i="1"/>
  <c r="A11864" i="1"/>
  <c r="A11863" i="1"/>
  <c r="A11862" i="1"/>
  <c r="A11861" i="1"/>
  <c r="A11860" i="1"/>
  <c r="A11859" i="1"/>
  <c r="A11858" i="1"/>
  <c r="A11857" i="1"/>
  <c r="A11856" i="1"/>
  <c r="A11855" i="1"/>
  <c r="A11854" i="1"/>
  <c r="A11853" i="1"/>
  <c r="A11852" i="1"/>
  <c r="A11851" i="1"/>
  <c r="A11850" i="1"/>
  <c r="A11849" i="1"/>
  <c r="A11848" i="1"/>
  <c r="A11847" i="1"/>
  <c r="A11846" i="1"/>
  <c r="A11845" i="1"/>
  <c r="A11844" i="1"/>
  <c r="A11843" i="1"/>
  <c r="A11842" i="1"/>
  <c r="A11841" i="1"/>
  <c r="A11840" i="1"/>
  <c r="A11839" i="1"/>
  <c r="A11838" i="1"/>
  <c r="A11837" i="1"/>
  <c r="A11836" i="1"/>
  <c r="A11835" i="1"/>
  <c r="A11834" i="1"/>
  <c r="A11833" i="1"/>
  <c r="A11832" i="1"/>
  <c r="A11831" i="1"/>
  <c r="A11830" i="1"/>
  <c r="A11829" i="1"/>
  <c r="A11828" i="1"/>
  <c r="A11827" i="1"/>
  <c r="A11826" i="1"/>
  <c r="A11825" i="1"/>
  <c r="A11824" i="1"/>
  <c r="A11823" i="1"/>
  <c r="A11822" i="1"/>
  <c r="A11821" i="1"/>
  <c r="A11820" i="1"/>
  <c r="A11819" i="1"/>
  <c r="A11818" i="1"/>
  <c r="A11817" i="1"/>
  <c r="A11816" i="1"/>
  <c r="A11815" i="1"/>
  <c r="A11814" i="1"/>
  <c r="A11813" i="1"/>
  <c r="A11812" i="1"/>
  <c r="A11811" i="1"/>
  <c r="A11810" i="1"/>
  <c r="A11809" i="1"/>
  <c r="A11808" i="1"/>
  <c r="A11807" i="1"/>
  <c r="A11806" i="1"/>
  <c r="A11805" i="1"/>
  <c r="A11804" i="1"/>
  <c r="A11803" i="1"/>
  <c r="A11802" i="1"/>
  <c r="A11801" i="1"/>
  <c r="A11800" i="1"/>
  <c r="A11799" i="1"/>
  <c r="A11798" i="1"/>
  <c r="A11797" i="1"/>
  <c r="A11796" i="1"/>
  <c r="A11795" i="1"/>
  <c r="A11794" i="1"/>
  <c r="A11793" i="1"/>
  <c r="A11792" i="1"/>
  <c r="A11791" i="1"/>
  <c r="A11790" i="1"/>
  <c r="A11789" i="1"/>
  <c r="A11788" i="1"/>
  <c r="A11787" i="1"/>
  <c r="A11786" i="1"/>
  <c r="A11785" i="1"/>
  <c r="A11784" i="1"/>
  <c r="A11783" i="1"/>
  <c r="A11782" i="1"/>
  <c r="A11781" i="1"/>
  <c r="A11780" i="1"/>
  <c r="A11779" i="1"/>
  <c r="A11778" i="1"/>
  <c r="A11777" i="1"/>
  <c r="A11776" i="1"/>
  <c r="A11775" i="1"/>
  <c r="A11774" i="1"/>
  <c r="A11773" i="1"/>
  <c r="A11772" i="1"/>
  <c r="A11771" i="1"/>
  <c r="A11770" i="1"/>
  <c r="A11769" i="1"/>
  <c r="A11768" i="1"/>
  <c r="A11767" i="1"/>
  <c r="A11766" i="1"/>
  <c r="A11765" i="1"/>
  <c r="A11764" i="1"/>
  <c r="A11763" i="1"/>
  <c r="A11762" i="1"/>
  <c r="A11761" i="1"/>
  <c r="A11760" i="1"/>
  <c r="A11759" i="1"/>
  <c r="A11758" i="1"/>
  <c r="A11757" i="1"/>
  <c r="A11756" i="1"/>
  <c r="A11755" i="1"/>
  <c r="A11754" i="1"/>
  <c r="A11753" i="1"/>
  <c r="A11752" i="1"/>
  <c r="A11751" i="1"/>
  <c r="A11750" i="1"/>
  <c r="A11749" i="1"/>
  <c r="A11748" i="1"/>
  <c r="A11747" i="1"/>
  <c r="A11746" i="1"/>
  <c r="A11745" i="1"/>
  <c r="A11744" i="1"/>
  <c r="A11743" i="1"/>
  <c r="A11742" i="1"/>
  <c r="A11741" i="1"/>
  <c r="A11740" i="1"/>
  <c r="A11739" i="1"/>
  <c r="A11738" i="1"/>
  <c r="A11737" i="1"/>
  <c r="A11736" i="1"/>
  <c r="A11735" i="1"/>
  <c r="A11734" i="1"/>
  <c r="A11733" i="1"/>
  <c r="A11732" i="1"/>
  <c r="A11731" i="1"/>
  <c r="A11730" i="1"/>
  <c r="A11729" i="1"/>
  <c r="A11728" i="1"/>
  <c r="A11727" i="1"/>
  <c r="A11726" i="1"/>
  <c r="A11725" i="1"/>
  <c r="A11724" i="1"/>
  <c r="A11723" i="1"/>
  <c r="A11722" i="1"/>
  <c r="A11721" i="1"/>
  <c r="A11720" i="1"/>
  <c r="A11719" i="1"/>
  <c r="A11718" i="1"/>
  <c r="A11717" i="1"/>
  <c r="A11716" i="1"/>
  <c r="A11715" i="1"/>
  <c r="A11714" i="1"/>
  <c r="A11713" i="1"/>
  <c r="A11712" i="1"/>
  <c r="A11711" i="1"/>
  <c r="A11710" i="1"/>
  <c r="A11709" i="1"/>
  <c r="A11708" i="1"/>
  <c r="A11707" i="1"/>
  <c r="A11706" i="1"/>
  <c r="A11705" i="1"/>
  <c r="A11704" i="1"/>
  <c r="A11703" i="1"/>
  <c r="A11702" i="1"/>
  <c r="A11701" i="1"/>
  <c r="A11700" i="1"/>
  <c r="A11699" i="1"/>
  <c r="A11698" i="1"/>
  <c r="A11697" i="1"/>
  <c r="A11696" i="1"/>
  <c r="A11695" i="1"/>
  <c r="A11694" i="1"/>
  <c r="A11693" i="1"/>
  <c r="A11692" i="1"/>
  <c r="A11691" i="1"/>
  <c r="A11690" i="1"/>
  <c r="A11689" i="1"/>
  <c r="A11688" i="1"/>
  <c r="A11687" i="1"/>
  <c r="A11686" i="1"/>
  <c r="A11685" i="1"/>
  <c r="A11684" i="1"/>
  <c r="A11683" i="1"/>
  <c r="A11682" i="1"/>
  <c r="A11681" i="1"/>
  <c r="A11680" i="1"/>
  <c r="A11679" i="1"/>
  <c r="A11678" i="1"/>
  <c r="A11677" i="1"/>
  <c r="A11676" i="1"/>
  <c r="A11675" i="1"/>
  <c r="A11674" i="1"/>
  <c r="A11673" i="1"/>
  <c r="A11672" i="1"/>
  <c r="A11671" i="1"/>
  <c r="A11670" i="1"/>
  <c r="A11669" i="1"/>
  <c r="A11668" i="1"/>
  <c r="A11667" i="1"/>
  <c r="A11666" i="1"/>
  <c r="A11665" i="1"/>
  <c r="A11664" i="1"/>
  <c r="A11663" i="1"/>
  <c r="A11662" i="1"/>
  <c r="A11661" i="1"/>
  <c r="A11660" i="1"/>
  <c r="A11659" i="1"/>
  <c r="A11658" i="1"/>
  <c r="A11657" i="1"/>
  <c r="A11656" i="1"/>
  <c r="A11655" i="1"/>
  <c r="A11654" i="1"/>
  <c r="A11653" i="1"/>
  <c r="A11652" i="1"/>
  <c r="A11651" i="1"/>
  <c r="A11650" i="1"/>
  <c r="A11649" i="1"/>
  <c r="A11648" i="1"/>
  <c r="A11647" i="1"/>
  <c r="A11646" i="1"/>
  <c r="A11645" i="1"/>
  <c r="A11644" i="1"/>
  <c r="A11643" i="1"/>
  <c r="A11642" i="1"/>
  <c r="A11641" i="1"/>
  <c r="A11640" i="1"/>
  <c r="A11639" i="1"/>
  <c r="A11638" i="1"/>
  <c r="A11637" i="1"/>
  <c r="A11636" i="1"/>
  <c r="A11635" i="1"/>
  <c r="A11634" i="1"/>
  <c r="A11633" i="1"/>
  <c r="A11632" i="1"/>
  <c r="A11631" i="1"/>
  <c r="A11630" i="1"/>
  <c r="A11629" i="1"/>
  <c r="A11628" i="1"/>
  <c r="A11627" i="1"/>
  <c r="A11626" i="1"/>
  <c r="A11625" i="1"/>
  <c r="A11624" i="1"/>
  <c r="A11623" i="1"/>
  <c r="A11622" i="1"/>
  <c r="A11621" i="1"/>
  <c r="A11620" i="1"/>
  <c r="A11619" i="1"/>
  <c r="A11618" i="1"/>
  <c r="A11617" i="1"/>
  <c r="A11616" i="1"/>
  <c r="A11615" i="1"/>
  <c r="A11614" i="1"/>
  <c r="A11613" i="1"/>
  <c r="A11612" i="1"/>
  <c r="A11611" i="1"/>
  <c r="A11610" i="1"/>
  <c r="A11609" i="1"/>
  <c r="A11608" i="1"/>
  <c r="A11607" i="1"/>
  <c r="A11606" i="1"/>
  <c r="A11605" i="1"/>
  <c r="A11604" i="1"/>
  <c r="A11603" i="1"/>
  <c r="A11602" i="1"/>
  <c r="A11601" i="1"/>
  <c r="A11600" i="1"/>
  <c r="A11599" i="1"/>
  <c r="A11598" i="1"/>
  <c r="A11597" i="1"/>
  <c r="A11596" i="1"/>
  <c r="A11595" i="1"/>
  <c r="A11594" i="1"/>
  <c r="A11593" i="1"/>
  <c r="A11592" i="1"/>
  <c r="A11591" i="1"/>
  <c r="A11590" i="1"/>
  <c r="A11589" i="1"/>
  <c r="A11588" i="1"/>
  <c r="A11587" i="1"/>
  <c r="A11586" i="1"/>
  <c r="A11585" i="1"/>
  <c r="A11584" i="1"/>
  <c r="A11583" i="1"/>
  <c r="A11582" i="1"/>
  <c r="A11581" i="1"/>
  <c r="A11580" i="1"/>
  <c r="A11579" i="1"/>
  <c r="A11578" i="1"/>
  <c r="A11577" i="1"/>
  <c r="A11576" i="1"/>
  <c r="A11575" i="1"/>
  <c r="A11574" i="1"/>
  <c r="A11573" i="1"/>
  <c r="A11572" i="1"/>
  <c r="A11571" i="1"/>
  <c r="A11570" i="1"/>
  <c r="A11569" i="1"/>
  <c r="A11568" i="1"/>
  <c r="A11567" i="1"/>
  <c r="A11566" i="1"/>
  <c r="A11565" i="1"/>
  <c r="A11564" i="1"/>
  <c r="A11563" i="1"/>
  <c r="A11562" i="1"/>
  <c r="A11561" i="1"/>
  <c r="A11560" i="1"/>
  <c r="A11559" i="1"/>
  <c r="A11558" i="1"/>
  <c r="A11557" i="1"/>
  <c r="A11556" i="1"/>
  <c r="A11555" i="1"/>
  <c r="A11554" i="1"/>
  <c r="A11553" i="1"/>
  <c r="A11552" i="1"/>
  <c r="A11551" i="1"/>
  <c r="A11550" i="1"/>
  <c r="A11549" i="1"/>
  <c r="A11548" i="1"/>
  <c r="A11547" i="1"/>
  <c r="A11546" i="1"/>
  <c r="A11545" i="1"/>
  <c r="A11544" i="1"/>
  <c r="A11543" i="1"/>
  <c r="A11542" i="1"/>
  <c r="A11541" i="1"/>
  <c r="A11540" i="1"/>
  <c r="A11539" i="1"/>
  <c r="A11538" i="1"/>
  <c r="A11537" i="1"/>
  <c r="A11536" i="1"/>
  <c r="A11535" i="1"/>
  <c r="A11534" i="1"/>
  <c r="A11533" i="1"/>
  <c r="A11532" i="1"/>
  <c r="A11531" i="1"/>
  <c r="A11530" i="1"/>
  <c r="A11529" i="1"/>
  <c r="A11528" i="1"/>
  <c r="A11527" i="1"/>
  <c r="A11526" i="1"/>
  <c r="A11525" i="1"/>
  <c r="A11524" i="1"/>
  <c r="A11523" i="1"/>
  <c r="A11522" i="1"/>
  <c r="A11521" i="1"/>
  <c r="A11520" i="1"/>
  <c r="A11519" i="1"/>
  <c r="A11518" i="1"/>
  <c r="A11517" i="1"/>
  <c r="A11516" i="1"/>
  <c r="A11515" i="1"/>
  <c r="A11514" i="1"/>
  <c r="A11513" i="1"/>
  <c r="A11512" i="1"/>
  <c r="A11511" i="1"/>
  <c r="A11510" i="1"/>
  <c r="A11509" i="1"/>
  <c r="A11508" i="1"/>
  <c r="A11507" i="1"/>
  <c r="A11506" i="1"/>
  <c r="A11505" i="1"/>
  <c r="A11504" i="1"/>
  <c r="A11503" i="1"/>
  <c r="A11502" i="1"/>
  <c r="A11501" i="1"/>
  <c r="A11500" i="1"/>
  <c r="A11499" i="1"/>
  <c r="A11498" i="1"/>
  <c r="A11497" i="1"/>
  <c r="A11496" i="1"/>
  <c r="A11495" i="1"/>
  <c r="A11494" i="1"/>
  <c r="A11493" i="1"/>
  <c r="A11492" i="1"/>
  <c r="A11491" i="1"/>
  <c r="A11490" i="1"/>
  <c r="A11489" i="1"/>
  <c r="A11488" i="1"/>
  <c r="A11487" i="1"/>
  <c r="A11486" i="1"/>
  <c r="A11485" i="1"/>
  <c r="A11484" i="1"/>
  <c r="A11483" i="1"/>
  <c r="A11482" i="1"/>
  <c r="A11481" i="1"/>
  <c r="A11480" i="1"/>
  <c r="A11479" i="1"/>
  <c r="A11478" i="1"/>
  <c r="A11477" i="1"/>
  <c r="A11476" i="1"/>
  <c r="A11475" i="1"/>
  <c r="A11474" i="1"/>
  <c r="A11473" i="1"/>
  <c r="A11472" i="1"/>
  <c r="A11471" i="1"/>
  <c r="A11470" i="1"/>
  <c r="A11469" i="1"/>
  <c r="A11468" i="1"/>
  <c r="A11467" i="1"/>
  <c r="A11466" i="1"/>
  <c r="A11465" i="1"/>
  <c r="A11464" i="1"/>
  <c r="A11463" i="1"/>
  <c r="A11462" i="1"/>
  <c r="A11461" i="1"/>
  <c r="A11460" i="1"/>
  <c r="A11459" i="1"/>
  <c r="A11458" i="1"/>
  <c r="A11457" i="1"/>
  <c r="A11456" i="1"/>
  <c r="A11455" i="1"/>
  <c r="A11454" i="1"/>
  <c r="A11453" i="1"/>
  <c r="A11452" i="1"/>
  <c r="A11451" i="1"/>
  <c r="A11450" i="1"/>
  <c r="A11449" i="1"/>
  <c r="A11448" i="1"/>
  <c r="A11447" i="1"/>
  <c r="A11446" i="1"/>
  <c r="A11445" i="1"/>
  <c r="A11444" i="1"/>
  <c r="A11443" i="1"/>
  <c r="A11442" i="1"/>
  <c r="A11441" i="1"/>
  <c r="A11440" i="1"/>
  <c r="A11439" i="1"/>
  <c r="A11438" i="1"/>
  <c r="A11437" i="1"/>
  <c r="A11436" i="1"/>
  <c r="A11435" i="1"/>
  <c r="A11434" i="1"/>
  <c r="A11433" i="1"/>
  <c r="A11432" i="1"/>
  <c r="A11431" i="1"/>
  <c r="A11430" i="1"/>
  <c r="A11429" i="1"/>
  <c r="A11428" i="1"/>
  <c r="A11427" i="1"/>
  <c r="A11426" i="1"/>
  <c r="A11425" i="1"/>
  <c r="A11424" i="1"/>
  <c r="A11423" i="1"/>
  <c r="A11422" i="1"/>
  <c r="A11421" i="1"/>
  <c r="A11420" i="1"/>
  <c r="A11419" i="1"/>
  <c r="A11418" i="1"/>
  <c r="A11417" i="1"/>
  <c r="A11416" i="1"/>
  <c r="A11415" i="1"/>
  <c r="A11414" i="1"/>
  <c r="A11413" i="1"/>
  <c r="A11412" i="1"/>
  <c r="A11411" i="1"/>
  <c r="A11410" i="1"/>
  <c r="A11409" i="1"/>
  <c r="A11408" i="1"/>
  <c r="A11407" i="1"/>
  <c r="A11406" i="1"/>
  <c r="A11405" i="1"/>
  <c r="A11404" i="1"/>
  <c r="A11403" i="1"/>
  <c r="A11402" i="1"/>
  <c r="A11401" i="1"/>
  <c r="A11400" i="1"/>
  <c r="A11399" i="1"/>
  <c r="A11398" i="1"/>
  <c r="A11397" i="1"/>
  <c r="A11396" i="1"/>
  <c r="A11395" i="1"/>
  <c r="A11394" i="1"/>
  <c r="A11393" i="1"/>
  <c r="A11392" i="1"/>
  <c r="A11391" i="1"/>
  <c r="A11390" i="1"/>
  <c r="A11389" i="1"/>
  <c r="A11388" i="1"/>
  <c r="A11387" i="1"/>
  <c r="A11386" i="1"/>
  <c r="A11385" i="1"/>
  <c r="A11384" i="1"/>
  <c r="A11383" i="1"/>
  <c r="A11382" i="1"/>
  <c r="A11381" i="1"/>
  <c r="A11380" i="1"/>
  <c r="A11379" i="1"/>
  <c r="A11378" i="1"/>
  <c r="A11377" i="1"/>
  <c r="A11376" i="1"/>
  <c r="A11375" i="1"/>
  <c r="A11374" i="1"/>
  <c r="A11373" i="1"/>
  <c r="A11372" i="1"/>
  <c r="A11371" i="1"/>
  <c r="A11370" i="1"/>
  <c r="A11369" i="1"/>
  <c r="A11368" i="1"/>
  <c r="A11367" i="1"/>
  <c r="A11366" i="1"/>
  <c r="A11365" i="1"/>
  <c r="A11364" i="1"/>
  <c r="A11363" i="1"/>
  <c r="A11362" i="1"/>
  <c r="A11361" i="1"/>
  <c r="A11360" i="1"/>
  <c r="A11359" i="1"/>
  <c r="A11358" i="1"/>
  <c r="A11357" i="1"/>
  <c r="A11356" i="1"/>
  <c r="A11355" i="1"/>
  <c r="A11354" i="1"/>
  <c r="A11353" i="1"/>
  <c r="A11352" i="1"/>
  <c r="A11351" i="1"/>
  <c r="A11350" i="1"/>
  <c r="A11349" i="1"/>
  <c r="A11348" i="1"/>
  <c r="A11347" i="1"/>
  <c r="A11346" i="1"/>
  <c r="A11345" i="1"/>
  <c r="A11344" i="1"/>
  <c r="A11343" i="1"/>
  <c r="A11342" i="1"/>
  <c r="A11341" i="1"/>
  <c r="A11340" i="1"/>
  <c r="A11339" i="1"/>
  <c r="A11338" i="1"/>
  <c r="A11337" i="1"/>
  <c r="A11336" i="1"/>
  <c r="A11335" i="1"/>
  <c r="A11334" i="1"/>
  <c r="A11333" i="1"/>
  <c r="A11332" i="1"/>
  <c r="A11331" i="1"/>
  <c r="A11330" i="1"/>
  <c r="A11329" i="1"/>
  <c r="A11328" i="1"/>
  <c r="A11327" i="1"/>
  <c r="A11326" i="1"/>
  <c r="A11325" i="1"/>
  <c r="A11324" i="1"/>
  <c r="A11323" i="1"/>
  <c r="A11322" i="1"/>
  <c r="A11321" i="1"/>
  <c r="A11320" i="1"/>
  <c r="A11319" i="1"/>
  <c r="A11318" i="1"/>
  <c r="A11317" i="1"/>
  <c r="A11316" i="1"/>
  <c r="A11315" i="1"/>
  <c r="A11314" i="1"/>
  <c r="A11313" i="1"/>
  <c r="A11312" i="1"/>
  <c r="A11311" i="1"/>
  <c r="A11310" i="1"/>
  <c r="A11309" i="1"/>
  <c r="A11308" i="1"/>
  <c r="A11307" i="1"/>
  <c r="A11306" i="1"/>
  <c r="A11305" i="1"/>
  <c r="A11304" i="1"/>
  <c r="A11303" i="1"/>
  <c r="A11302" i="1"/>
  <c r="A11301" i="1"/>
  <c r="A11300" i="1"/>
  <c r="A11299" i="1"/>
  <c r="A11298" i="1"/>
  <c r="A11297" i="1"/>
  <c r="A11296" i="1"/>
  <c r="A11295" i="1"/>
  <c r="A11294" i="1"/>
  <c r="A11293" i="1"/>
  <c r="A11292" i="1"/>
  <c r="A11291" i="1"/>
  <c r="A11290" i="1"/>
  <c r="A11289" i="1"/>
  <c r="A11288" i="1"/>
  <c r="A11287" i="1"/>
  <c r="A11286" i="1"/>
  <c r="A11285" i="1"/>
  <c r="A11284" i="1"/>
  <c r="A11283" i="1"/>
  <c r="A11282" i="1"/>
  <c r="A11281" i="1"/>
  <c r="A11280" i="1"/>
  <c r="A11279" i="1"/>
  <c r="A11278" i="1"/>
  <c r="A11277" i="1"/>
  <c r="A11276" i="1"/>
  <c r="A11275" i="1"/>
  <c r="A11274" i="1"/>
  <c r="A11273" i="1"/>
  <c r="A11272" i="1"/>
  <c r="A11271" i="1"/>
  <c r="A11270" i="1"/>
  <c r="A11269" i="1"/>
  <c r="A11268" i="1"/>
  <c r="A11267" i="1"/>
  <c r="A11266" i="1"/>
  <c r="A11265" i="1"/>
  <c r="A11264" i="1"/>
  <c r="A11263" i="1"/>
  <c r="A11262" i="1"/>
  <c r="A11261" i="1"/>
  <c r="A11260" i="1"/>
  <c r="A11259" i="1"/>
  <c r="A11258" i="1"/>
  <c r="A11257" i="1"/>
  <c r="A11256" i="1"/>
  <c r="A11255" i="1"/>
  <c r="A11254" i="1"/>
  <c r="A11253" i="1"/>
  <c r="A11252" i="1"/>
  <c r="A11251" i="1"/>
  <c r="A11250" i="1"/>
  <c r="A11249" i="1"/>
  <c r="A11248" i="1"/>
  <c r="A11247" i="1"/>
  <c r="A11246" i="1"/>
  <c r="A11245" i="1"/>
  <c r="A11244" i="1"/>
  <c r="A11243" i="1"/>
  <c r="A11242" i="1"/>
  <c r="A11241" i="1"/>
  <c r="A11240" i="1"/>
  <c r="A11239" i="1"/>
  <c r="A11238" i="1"/>
  <c r="A11237" i="1"/>
  <c r="A11236" i="1"/>
  <c r="A11235" i="1"/>
  <c r="A11234" i="1"/>
  <c r="A11233" i="1"/>
  <c r="A11232" i="1"/>
  <c r="A11231" i="1"/>
  <c r="A11230" i="1"/>
  <c r="A11229" i="1"/>
  <c r="A11228" i="1"/>
  <c r="A11227" i="1"/>
  <c r="A11226" i="1"/>
  <c r="A11225" i="1"/>
  <c r="A11224" i="1"/>
  <c r="A11223" i="1"/>
  <c r="A11222" i="1"/>
  <c r="A11221" i="1"/>
  <c r="A11220" i="1"/>
  <c r="A11219" i="1"/>
  <c r="A11218" i="1"/>
  <c r="A11217" i="1"/>
  <c r="A11216" i="1"/>
  <c r="A11215" i="1"/>
  <c r="A11214" i="1"/>
  <c r="A11213" i="1"/>
  <c r="A11212" i="1"/>
  <c r="A11211" i="1"/>
  <c r="A11210" i="1"/>
  <c r="A11209" i="1"/>
  <c r="A11208" i="1"/>
  <c r="A11207" i="1"/>
  <c r="A11206" i="1"/>
  <c r="A11205" i="1"/>
  <c r="A11204" i="1"/>
  <c r="A11203" i="1"/>
  <c r="A11202" i="1"/>
  <c r="A11201" i="1"/>
  <c r="A11200" i="1"/>
  <c r="A11199" i="1"/>
  <c r="A11198" i="1"/>
  <c r="A11197" i="1"/>
  <c r="A11196" i="1"/>
  <c r="A11195" i="1"/>
  <c r="A11194" i="1"/>
  <c r="A11193" i="1"/>
  <c r="A11192" i="1"/>
  <c r="A11191" i="1"/>
  <c r="A11190" i="1"/>
  <c r="A11189" i="1"/>
  <c r="A11188" i="1"/>
  <c r="A11187" i="1"/>
  <c r="A11186" i="1"/>
  <c r="A11185" i="1"/>
  <c r="A11184" i="1"/>
  <c r="A11183" i="1"/>
  <c r="A11182" i="1"/>
  <c r="A11181" i="1"/>
  <c r="A11180" i="1"/>
  <c r="A11179" i="1"/>
  <c r="A11178" i="1"/>
  <c r="A11177" i="1"/>
  <c r="A11176" i="1"/>
  <c r="A11175" i="1"/>
  <c r="A11174" i="1"/>
  <c r="A11173" i="1"/>
  <c r="A11172" i="1"/>
  <c r="A11171" i="1"/>
  <c r="A11170" i="1"/>
  <c r="A11169" i="1"/>
  <c r="A11168" i="1"/>
  <c r="A11167" i="1"/>
  <c r="A11166" i="1"/>
  <c r="A11165" i="1"/>
  <c r="A11164" i="1"/>
  <c r="A11163" i="1"/>
  <c r="A11162" i="1"/>
  <c r="A11161" i="1"/>
  <c r="A11160" i="1"/>
  <c r="A11159" i="1"/>
  <c r="A11158" i="1"/>
  <c r="A11157" i="1"/>
  <c r="A11156" i="1"/>
  <c r="A11155" i="1"/>
  <c r="A11154" i="1"/>
  <c r="A11153" i="1"/>
  <c r="A11152" i="1"/>
  <c r="A11151" i="1"/>
  <c r="A11150" i="1"/>
  <c r="A11149" i="1"/>
  <c r="A11148" i="1"/>
  <c r="A11147" i="1"/>
  <c r="A11146" i="1"/>
  <c r="A11145" i="1"/>
  <c r="A11144" i="1"/>
  <c r="A11143" i="1"/>
  <c r="A11142" i="1"/>
  <c r="A11141" i="1"/>
  <c r="A11140" i="1"/>
  <c r="A11139" i="1"/>
  <c r="A11138" i="1"/>
  <c r="A11137" i="1"/>
  <c r="A11136" i="1"/>
  <c r="A11135" i="1"/>
  <c r="A11134" i="1"/>
  <c r="A11133" i="1"/>
  <c r="A11132" i="1"/>
  <c r="A11131" i="1"/>
  <c r="A11130" i="1"/>
  <c r="A11129" i="1"/>
  <c r="A11128" i="1"/>
  <c r="A11127" i="1"/>
  <c r="A11126" i="1"/>
  <c r="A11125" i="1"/>
  <c r="A11124" i="1"/>
  <c r="A11123" i="1"/>
  <c r="A11122" i="1"/>
  <c r="A11121" i="1"/>
  <c r="A11120" i="1"/>
  <c r="A11119" i="1"/>
  <c r="A11118" i="1"/>
  <c r="A11117" i="1"/>
  <c r="A11116" i="1"/>
  <c r="A11115" i="1"/>
  <c r="A11114" i="1"/>
  <c r="A11113" i="1"/>
  <c r="A11112" i="1"/>
  <c r="A11111" i="1"/>
  <c r="A11110" i="1"/>
  <c r="A11109" i="1"/>
  <c r="A11108" i="1"/>
  <c r="A11107" i="1"/>
  <c r="A11106" i="1"/>
  <c r="A11105" i="1"/>
  <c r="A11104" i="1"/>
  <c r="A11103" i="1"/>
  <c r="A11102" i="1"/>
  <c r="A11101" i="1"/>
  <c r="A11100" i="1"/>
  <c r="A11099" i="1"/>
  <c r="A11098" i="1"/>
  <c r="A11097" i="1"/>
  <c r="A11096" i="1"/>
  <c r="A11095" i="1"/>
  <c r="A11094" i="1"/>
  <c r="A11093" i="1"/>
  <c r="A11092" i="1"/>
  <c r="A11091" i="1"/>
  <c r="A11090" i="1"/>
  <c r="A11089" i="1"/>
  <c r="A11088" i="1"/>
  <c r="A11087" i="1"/>
  <c r="A11086" i="1"/>
  <c r="A11085" i="1"/>
  <c r="A11084" i="1"/>
  <c r="A11083" i="1"/>
  <c r="A11082" i="1"/>
  <c r="A11081" i="1"/>
  <c r="A11080" i="1"/>
  <c r="A11079" i="1"/>
  <c r="A11078" i="1"/>
  <c r="A11077" i="1"/>
  <c r="A11076" i="1"/>
  <c r="A11075" i="1"/>
  <c r="A11074" i="1"/>
  <c r="A11073" i="1"/>
  <c r="A11072" i="1"/>
  <c r="A11071" i="1"/>
  <c r="A11070" i="1"/>
  <c r="A11069" i="1"/>
  <c r="A11068" i="1"/>
  <c r="A11067" i="1"/>
  <c r="A11066" i="1"/>
  <c r="A11065" i="1"/>
  <c r="A11064" i="1"/>
  <c r="A11063" i="1"/>
  <c r="A11062" i="1"/>
  <c r="A11061" i="1"/>
  <c r="A11060" i="1"/>
  <c r="A11059" i="1"/>
  <c r="A11058" i="1"/>
  <c r="A11057" i="1"/>
  <c r="A11056" i="1"/>
  <c r="A11055" i="1"/>
  <c r="A11054" i="1"/>
  <c r="A11053" i="1"/>
  <c r="A11052" i="1"/>
  <c r="A11051" i="1"/>
  <c r="A11050" i="1"/>
  <c r="A11049" i="1"/>
  <c r="A11048" i="1"/>
  <c r="A11047" i="1"/>
  <c r="A11046" i="1"/>
  <c r="A11045" i="1"/>
  <c r="A11044" i="1"/>
  <c r="A11043" i="1"/>
  <c r="A11042" i="1"/>
  <c r="A11041" i="1"/>
  <c r="A11040" i="1"/>
  <c r="A11039" i="1"/>
  <c r="A11038" i="1"/>
  <c r="A11037" i="1"/>
  <c r="A11036" i="1"/>
  <c r="A11035" i="1"/>
  <c r="A11034" i="1"/>
  <c r="A11033" i="1"/>
  <c r="A11032" i="1"/>
  <c r="A11031" i="1"/>
  <c r="A11030" i="1"/>
  <c r="A11029" i="1"/>
  <c r="A11028" i="1"/>
  <c r="A11027" i="1"/>
  <c r="A11026" i="1"/>
  <c r="A11025" i="1"/>
  <c r="A11024" i="1"/>
  <c r="A11023" i="1"/>
  <c r="A11022" i="1"/>
  <c r="A11021" i="1"/>
  <c r="A11020" i="1"/>
  <c r="A11019" i="1"/>
  <c r="A11018" i="1"/>
  <c r="A11017" i="1"/>
  <c r="A11016" i="1"/>
  <c r="A11015" i="1"/>
  <c r="A11014" i="1"/>
  <c r="A11013" i="1"/>
  <c r="A11012" i="1"/>
  <c r="A11011" i="1"/>
  <c r="A11010" i="1"/>
  <c r="A11009" i="1"/>
  <c r="A11008" i="1"/>
  <c r="A11007" i="1"/>
  <c r="A11006" i="1"/>
  <c r="A11005" i="1"/>
  <c r="A11004" i="1"/>
  <c r="A11003" i="1"/>
  <c r="A11002" i="1"/>
  <c r="A11001" i="1"/>
  <c r="A11000" i="1"/>
  <c r="A10999" i="1"/>
  <c r="A10998" i="1"/>
  <c r="A10997" i="1"/>
  <c r="A10996" i="1"/>
  <c r="A10995" i="1"/>
  <c r="A10994" i="1"/>
  <c r="A10993" i="1"/>
  <c r="A10992" i="1"/>
  <c r="A10991" i="1"/>
  <c r="A10990" i="1"/>
  <c r="A10989" i="1"/>
  <c r="A10988" i="1"/>
  <c r="A10987" i="1"/>
  <c r="A10986" i="1"/>
  <c r="A10985" i="1"/>
  <c r="A10984" i="1"/>
  <c r="A10983" i="1"/>
  <c r="A10982" i="1"/>
  <c r="A10981" i="1"/>
  <c r="A10980" i="1"/>
  <c r="A10979" i="1"/>
  <c r="A10978" i="1"/>
  <c r="A10977" i="1"/>
  <c r="A10976" i="1"/>
  <c r="A10975" i="1"/>
  <c r="A10974" i="1"/>
  <c r="A10973" i="1"/>
  <c r="A10972" i="1"/>
  <c r="A10971" i="1"/>
  <c r="A10970" i="1"/>
  <c r="A10969" i="1"/>
  <c r="A10968" i="1"/>
  <c r="A10967" i="1"/>
  <c r="A10966" i="1"/>
  <c r="A10965" i="1"/>
  <c r="A10964" i="1"/>
  <c r="A10963" i="1"/>
  <c r="A10962" i="1"/>
  <c r="A10961" i="1"/>
  <c r="A10960" i="1"/>
  <c r="A10959" i="1"/>
  <c r="A10958" i="1"/>
  <c r="A10957" i="1"/>
  <c r="A10956" i="1"/>
  <c r="A10955" i="1"/>
  <c r="A10954" i="1"/>
  <c r="A10953" i="1"/>
  <c r="A10952" i="1"/>
  <c r="A10951" i="1"/>
  <c r="A10950" i="1"/>
  <c r="A10949" i="1"/>
  <c r="A10948" i="1"/>
  <c r="A10947" i="1"/>
  <c r="A10946" i="1"/>
  <c r="A10945" i="1"/>
  <c r="A10944" i="1"/>
  <c r="A10943" i="1"/>
  <c r="A10942" i="1"/>
  <c r="A10941" i="1"/>
  <c r="A10940" i="1"/>
  <c r="A10939" i="1"/>
  <c r="A10938" i="1"/>
  <c r="A10937" i="1"/>
  <c r="A10936" i="1"/>
  <c r="A10935" i="1"/>
  <c r="A10934" i="1"/>
  <c r="A10933" i="1"/>
  <c r="A10932" i="1"/>
  <c r="A10931" i="1"/>
  <c r="A10930" i="1"/>
  <c r="A10929" i="1"/>
  <c r="A10928" i="1"/>
  <c r="A10927" i="1"/>
  <c r="A10926" i="1"/>
  <c r="A10925" i="1"/>
  <c r="A10924" i="1"/>
  <c r="A10923" i="1"/>
  <c r="A10922" i="1"/>
  <c r="A10921" i="1"/>
  <c r="A10920" i="1"/>
  <c r="A10919" i="1"/>
  <c r="A10918" i="1"/>
  <c r="A10917" i="1"/>
  <c r="A10916" i="1"/>
  <c r="A10915" i="1"/>
  <c r="A10914" i="1"/>
  <c r="A10913" i="1"/>
  <c r="A10912" i="1"/>
  <c r="A10911" i="1"/>
  <c r="A10910" i="1"/>
  <c r="A10909" i="1"/>
  <c r="A10908" i="1"/>
  <c r="A10907" i="1"/>
  <c r="A10906" i="1"/>
  <c r="A10905" i="1"/>
  <c r="A10904" i="1"/>
  <c r="A10903" i="1"/>
  <c r="A10902" i="1"/>
  <c r="A10901" i="1"/>
  <c r="A10900" i="1"/>
  <c r="A10899" i="1"/>
  <c r="A10898" i="1"/>
  <c r="A10897" i="1"/>
  <c r="A10896" i="1"/>
  <c r="A10895" i="1"/>
  <c r="A10894" i="1"/>
  <c r="A10893" i="1"/>
  <c r="A10892" i="1"/>
  <c r="A10891" i="1"/>
  <c r="A10890" i="1"/>
  <c r="A10889" i="1"/>
  <c r="A10888" i="1"/>
  <c r="A10887" i="1"/>
  <c r="A10886" i="1"/>
  <c r="A10885" i="1"/>
  <c r="A10884" i="1"/>
  <c r="A10883" i="1"/>
  <c r="A10882" i="1"/>
  <c r="A10881" i="1"/>
  <c r="A10880" i="1"/>
  <c r="A10879" i="1"/>
  <c r="A10878" i="1"/>
  <c r="A10877" i="1"/>
  <c r="A10876" i="1"/>
  <c r="A10875" i="1"/>
  <c r="A10874" i="1"/>
  <c r="A10873" i="1"/>
  <c r="A10872" i="1"/>
  <c r="A10871" i="1"/>
  <c r="A10870" i="1"/>
  <c r="A10869" i="1"/>
  <c r="A10868" i="1"/>
  <c r="A10867" i="1"/>
  <c r="A10866" i="1"/>
  <c r="A10865" i="1"/>
  <c r="A10864" i="1"/>
  <c r="A10863" i="1"/>
  <c r="A10862" i="1"/>
  <c r="A10861" i="1"/>
  <c r="A10860" i="1"/>
  <c r="A10859" i="1"/>
  <c r="A10858" i="1"/>
  <c r="A10857" i="1"/>
  <c r="A10856" i="1"/>
  <c r="A10855" i="1"/>
  <c r="A10854" i="1"/>
  <c r="A10853" i="1"/>
  <c r="A10852" i="1"/>
  <c r="A10851" i="1"/>
  <c r="A10850" i="1"/>
  <c r="A10849" i="1"/>
  <c r="A10848" i="1"/>
  <c r="A10847" i="1"/>
  <c r="A10846" i="1"/>
  <c r="A10845" i="1"/>
  <c r="A10844" i="1"/>
  <c r="A10843" i="1"/>
  <c r="A10842" i="1"/>
  <c r="A10841" i="1"/>
  <c r="A10840" i="1"/>
  <c r="A10839" i="1"/>
  <c r="A10838" i="1"/>
  <c r="A10837" i="1"/>
  <c r="A10836" i="1"/>
  <c r="A10835" i="1"/>
  <c r="A10834" i="1"/>
  <c r="A10833" i="1"/>
  <c r="A10832" i="1"/>
  <c r="A10831" i="1"/>
  <c r="A10830" i="1"/>
  <c r="A10829" i="1"/>
  <c r="A10828" i="1"/>
  <c r="A10827" i="1"/>
  <c r="A10826" i="1"/>
  <c r="A10825" i="1"/>
  <c r="A10824" i="1"/>
  <c r="A10823" i="1"/>
  <c r="A10822" i="1"/>
  <c r="A10821" i="1"/>
  <c r="A10820" i="1"/>
  <c r="A10819" i="1"/>
  <c r="A10818" i="1"/>
  <c r="A10817" i="1"/>
  <c r="A10816" i="1"/>
  <c r="A10815" i="1"/>
  <c r="A10814" i="1"/>
  <c r="A10813" i="1"/>
  <c r="A10812" i="1"/>
  <c r="A10811" i="1"/>
  <c r="A10810" i="1"/>
  <c r="A10809" i="1"/>
  <c r="A10808" i="1"/>
  <c r="A10807" i="1"/>
  <c r="A10806" i="1"/>
  <c r="A10805" i="1"/>
  <c r="A10804" i="1"/>
  <c r="A10803" i="1"/>
  <c r="A10802" i="1"/>
  <c r="A10801" i="1"/>
  <c r="A10800" i="1"/>
  <c r="A10799" i="1"/>
  <c r="A10798" i="1"/>
  <c r="A10797" i="1"/>
  <c r="A10796" i="1"/>
  <c r="A10795" i="1"/>
  <c r="A10794" i="1"/>
  <c r="A10793" i="1"/>
  <c r="A10792" i="1"/>
  <c r="A10791" i="1"/>
  <c r="A10790" i="1"/>
  <c r="A10789" i="1"/>
  <c r="A10788" i="1"/>
  <c r="A10787" i="1"/>
  <c r="A10786" i="1"/>
  <c r="A10785" i="1"/>
  <c r="A10784" i="1"/>
  <c r="A10783" i="1"/>
  <c r="A10782" i="1"/>
  <c r="A10781" i="1"/>
  <c r="A10780" i="1"/>
  <c r="A10779" i="1"/>
  <c r="A10778" i="1"/>
  <c r="A10777" i="1"/>
  <c r="A10776" i="1"/>
  <c r="A10775" i="1"/>
  <c r="A10774" i="1"/>
  <c r="A10773" i="1"/>
  <c r="A10772" i="1"/>
  <c r="A10771" i="1"/>
  <c r="A10770" i="1"/>
  <c r="A10769" i="1"/>
  <c r="A10768" i="1"/>
  <c r="A10767" i="1"/>
  <c r="A10766" i="1"/>
  <c r="A10765" i="1"/>
  <c r="A10764" i="1"/>
  <c r="A10763" i="1"/>
  <c r="A10762" i="1"/>
  <c r="A10761" i="1"/>
  <c r="A10760" i="1"/>
  <c r="A10759" i="1"/>
  <c r="A10758" i="1"/>
  <c r="A10757" i="1"/>
  <c r="A10756" i="1"/>
  <c r="A10755" i="1"/>
  <c r="A10754" i="1"/>
  <c r="A10753" i="1"/>
  <c r="A10752" i="1"/>
  <c r="A10751" i="1"/>
  <c r="A10750" i="1"/>
  <c r="A10749" i="1"/>
  <c r="A10748" i="1"/>
  <c r="A10747" i="1"/>
  <c r="A10746" i="1"/>
  <c r="A10745" i="1"/>
  <c r="A10744" i="1"/>
  <c r="A10743" i="1"/>
  <c r="A10742" i="1"/>
  <c r="A10741" i="1"/>
  <c r="A10740" i="1"/>
  <c r="A10739" i="1"/>
  <c r="A10738" i="1"/>
  <c r="A10737" i="1"/>
  <c r="A10736" i="1"/>
  <c r="A10735" i="1"/>
  <c r="A10734" i="1"/>
  <c r="A10733" i="1"/>
  <c r="A10732" i="1"/>
  <c r="A10731" i="1"/>
  <c r="A10730" i="1"/>
  <c r="A10729" i="1"/>
  <c r="A10728" i="1"/>
  <c r="A10727" i="1"/>
  <c r="A10726" i="1"/>
  <c r="A10725" i="1"/>
  <c r="A10724" i="1"/>
  <c r="A10723" i="1"/>
  <c r="A10722" i="1"/>
  <c r="A10721" i="1"/>
  <c r="A10720" i="1"/>
  <c r="A10719" i="1"/>
  <c r="A10718" i="1"/>
  <c r="A10717" i="1"/>
  <c r="A10716" i="1"/>
  <c r="A10715" i="1"/>
  <c r="A10714" i="1"/>
  <c r="A10713" i="1"/>
  <c r="A10712" i="1"/>
  <c r="A10711" i="1"/>
  <c r="A10710" i="1"/>
  <c r="A10709" i="1"/>
  <c r="A10708" i="1"/>
  <c r="A10707" i="1"/>
  <c r="A10706" i="1"/>
  <c r="A10705" i="1"/>
  <c r="A10704" i="1"/>
  <c r="A10703" i="1"/>
  <c r="A10702" i="1"/>
  <c r="A10701" i="1"/>
  <c r="A10700" i="1"/>
  <c r="A10699" i="1"/>
  <c r="A10698" i="1"/>
  <c r="A10697" i="1"/>
  <c r="A10696" i="1"/>
  <c r="A10695" i="1"/>
  <c r="A10694" i="1"/>
  <c r="A10693" i="1"/>
  <c r="A10692" i="1"/>
  <c r="A10691" i="1"/>
  <c r="A10690" i="1"/>
  <c r="A10689" i="1"/>
  <c r="A10688" i="1"/>
  <c r="A10687" i="1"/>
  <c r="A10686" i="1"/>
  <c r="A10685" i="1"/>
  <c r="A10684" i="1"/>
  <c r="A10683" i="1"/>
  <c r="A10682" i="1"/>
  <c r="A10681" i="1"/>
  <c r="A10680" i="1"/>
  <c r="A10679" i="1"/>
  <c r="A10678" i="1"/>
  <c r="A10677" i="1"/>
  <c r="A10676" i="1"/>
  <c r="A10675" i="1"/>
  <c r="A10674" i="1"/>
  <c r="A10673" i="1"/>
  <c r="A10672" i="1"/>
  <c r="A10671" i="1"/>
  <c r="A10670" i="1"/>
  <c r="A10669" i="1"/>
  <c r="A10668" i="1"/>
  <c r="A10667" i="1"/>
  <c r="A10666" i="1"/>
  <c r="A10665" i="1"/>
  <c r="A10664" i="1"/>
  <c r="A10663" i="1"/>
  <c r="A10662" i="1"/>
  <c r="A10661" i="1"/>
  <c r="A10660" i="1"/>
  <c r="A10659" i="1"/>
  <c r="A10658" i="1"/>
  <c r="A10657" i="1"/>
  <c r="A10656" i="1"/>
  <c r="A10655" i="1"/>
  <c r="A10654" i="1"/>
  <c r="A10653" i="1"/>
  <c r="A10652" i="1"/>
  <c r="A10651" i="1"/>
  <c r="A10650" i="1"/>
  <c r="A10649" i="1"/>
  <c r="A10648" i="1"/>
  <c r="A10647" i="1"/>
  <c r="A10646" i="1"/>
  <c r="A10645" i="1"/>
  <c r="A10644" i="1"/>
  <c r="A10643" i="1"/>
  <c r="A10642" i="1"/>
  <c r="A10641" i="1"/>
  <c r="A10640" i="1"/>
  <c r="A10639" i="1"/>
  <c r="A10638" i="1"/>
  <c r="A10637" i="1"/>
  <c r="A10636" i="1"/>
  <c r="A10635" i="1"/>
  <c r="A10634" i="1"/>
  <c r="A10633" i="1"/>
  <c r="A10632" i="1"/>
  <c r="A10631" i="1"/>
  <c r="A10630" i="1"/>
  <c r="A10629" i="1"/>
  <c r="A10628" i="1"/>
  <c r="A10627" i="1"/>
  <c r="A10626" i="1"/>
  <c r="A10625" i="1"/>
  <c r="A10624" i="1"/>
  <c r="A10623" i="1"/>
  <c r="A10622" i="1"/>
  <c r="A10621" i="1"/>
  <c r="A10620" i="1"/>
  <c r="A10619" i="1"/>
  <c r="A10618" i="1"/>
  <c r="A10617" i="1"/>
  <c r="A10616" i="1"/>
  <c r="A10615" i="1"/>
  <c r="A10614" i="1"/>
  <c r="A10613" i="1"/>
  <c r="A10612" i="1"/>
  <c r="A10611" i="1"/>
  <c r="A10610" i="1"/>
  <c r="A10609" i="1"/>
  <c r="A10608" i="1"/>
  <c r="A10607" i="1"/>
  <c r="A10606" i="1"/>
  <c r="A10605" i="1"/>
  <c r="A10604" i="1"/>
  <c r="A10603" i="1"/>
  <c r="A10602" i="1"/>
  <c r="A10601" i="1"/>
  <c r="A10600" i="1"/>
  <c r="A10599" i="1"/>
  <c r="A10598" i="1"/>
  <c r="A10597" i="1"/>
  <c r="A10596" i="1"/>
  <c r="A10595" i="1"/>
  <c r="A10594" i="1"/>
  <c r="A10593" i="1"/>
  <c r="A10592" i="1"/>
  <c r="A10591" i="1"/>
  <c r="A10590" i="1"/>
  <c r="A10589" i="1"/>
  <c r="A10588" i="1"/>
  <c r="A10587" i="1"/>
  <c r="A10586" i="1"/>
  <c r="A10585" i="1"/>
  <c r="A10584" i="1"/>
  <c r="A10583" i="1"/>
  <c r="A10582" i="1"/>
  <c r="A10581" i="1"/>
  <c r="A10580" i="1"/>
  <c r="A10579" i="1"/>
  <c r="A10578" i="1"/>
  <c r="A10577" i="1"/>
  <c r="A10576" i="1"/>
  <c r="A10575" i="1"/>
  <c r="A10574" i="1"/>
  <c r="A10573" i="1"/>
  <c r="A10572" i="1"/>
  <c r="A10571" i="1"/>
  <c r="A10570" i="1"/>
  <c r="A10569" i="1"/>
  <c r="A10568" i="1"/>
  <c r="A10567" i="1"/>
  <c r="A10566" i="1"/>
  <c r="A10565" i="1"/>
  <c r="A10564" i="1"/>
  <c r="A10563" i="1"/>
  <c r="A10562" i="1"/>
  <c r="A10561" i="1"/>
  <c r="A10560" i="1"/>
  <c r="A10559" i="1"/>
  <c r="A10558" i="1"/>
  <c r="A10557" i="1"/>
  <c r="A10556" i="1"/>
  <c r="A10555" i="1"/>
  <c r="A10554" i="1"/>
  <c r="A10553" i="1"/>
  <c r="A10552" i="1"/>
  <c r="A10551" i="1"/>
  <c r="A10550" i="1"/>
  <c r="A10549" i="1"/>
  <c r="A10548" i="1"/>
  <c r="A10547" i="1"/>
  <c r="A10546" i="1"/>
  <c r="A10545" i="1"/>
  <c r="A10544" i="1"/>
  <c r="A10543" i="1"/>
  <c r="A10542" i="1"/>
  <c r="A10541" i="1"/>
  <c r="A10540" i="1"/>
  <c r="A10539" i="1"/>
  <c r="A10538" i="1"/>
  <c r="A10537" i="1"/>
  <c r="A10536" i="1"/>
  <c r="A10535" i="1"/>
  <c r="A10534" i="1"/>
  <c r="A10533" i="1"/>
  <c r="A10532" i="1"/>
  <c r="A10531" i="1"/>
  <c r="A10530" i="1"/>
  <c r="A10529" i="1"/>
  <c r="A10528" i="1"/>
  <c r="A10527" i="1"/>
  <c r="A10526" i="1"/>
  <c r="A10525" i="1"/>
  <c r="A10524" i="1"/>
  <c r="A10523" i="1"/>
  <c r="A10522" i="1"/>
  <c r="A10521" i="1"/>
  <c r="A10520" i="1"/>
  <c r="A10519" i="1"/>
  <c r="A10518" i="1"/>
  <c r="A10517" i="1"/>
  <c r="A10516" i="1"/>
  <c r="A10515" i="1"/>
  <c r="A10514" i="1"/>
  <c r="A10513" i="1"/>
  <c r="A10512" i="1"/>
  <c r="A10511" i="1"/>
  <c r="A10510" i="1"/>
  <c r="A10509" i="1"/>
  <c r="A10508" i="1"/>
  <c r="A10507" i="1"/>
  <c r="A10506" i="1"/>
  <c r="A10505" i="1"/>
  <c r="A10504" i="1"/>
  <c r="A10503" i="1"/>
  <c r="A10502" i="1"/>
  <c r="A10501" i="1"/>
  <c r="A10500" i="1"/>
  <c r="A10499" i="1"/>
  <c r="A10498" i="1"/>
  <c r="A10497" i="1"/>
  <c r="A10496" i="1"/>
  <c r="A10495" i="1"/>
  <c r="A10494" i="1"/>
  <c r="A10493" i="1"/>
  <c r="A10492" i="1"/>
  <c r="A10491" i="1"/>
  <c r="A10490" i="1"/>
  <c r="A10489" i="1"/>
  <c r="A10488" i="1"/>
  <c r="A10487" i="1"/>
  <c r="A10486" i="1"/>
  <c r="A10485" i="1"/>
  <c r="A10484" i="1"/>
  <c r="A10483" i="1"/>
  <c r="A10482" i="1"/>
  <c r="A10481" i="1"/>
  <c r="A10480" i="1"/>
  <c r="A10479" i="1"/>
  <c r="A10478" i="1"/>
  <c r="A10477" i="1"/>
  <c r="A10476" i="1"/>
  <c r="A10475" i="1"/>
  <c r="A10474" i="1"/>
  <c r="A10473" i="1"/>
  <c r="A10472" i="1"/>
  <c r="A10471" i="1"/>
  <c r="A10470" i="1"/>
  <c r="A10469" i="1"/>
  <c r="A10468" i="1"/>
  <c r="A10467" i="1"/>
  <c r="A10466" i="1"/>
  <c r="A10465" i="1"/>
  <c r="A10464" i="1"/>
  <c r="A10463" i="1"/>
  <c r="A10462" i="1"/>
  <c r="A10461" i="1"/>
  <c r="A10460" i="1"/>
  <c r="A10459" i="1"/>
  <c r="A10458" i="1"/>
  <c r="A10457" i="1"/>
  <c r="A10456" i="1"/>
  <c r="A10455" i="1"/>
  <c r="A10454" i="1"/>
  <c r="A10453" i="1"/>
  <c r="A10452" i="1"/>
  <c r="A10451" i="1"/>
  <c r="A10450" i="1"/>
  <c r="A10449" i="1"/>
  <c r="A10448" i="1"/>
  <c r="A10447" i="1"/>
  <c r="A10446" i="1"/>
  <c r="A10445" i="1"/>
  <c r="A10444" i="1"/>
  <c r="A10443" i="1"/>
  <c r="A10442" i="1"/>
  <c r="A10441" i="1"/>
  <c r="A10440" i="1"/>
  <c r="A10439" i="1"/>
  <c r="A10438" i="1"/>
  <c r="A10437" i="1"/>
  <c r="A10436" i="1"/>
  <c r="A10435" i="1"/>
  <c r="A10434" i="1"/>
  <c r="A10433" i="1"/>
  <c r="A10432" i="1"/>
  <c r="A10431" i="1"/>
  <c r="A10430" i="1"/>
  <c r="A10429" i="1"/>
  <c r="A10428" i="1"/>
  <c r="A10427" i="1"/>
  <c r="A10426" i="1"/>
  <c r="A10425" i="1"/>
  <c r="A10424" i="1"/>
  <c r="A10423" i="1"/>
  <c r="A10422" i="1"/>
  <c r="A10421" i="1"/>
  <c r="A10420" i="1"/>
  <c r="A10419" i="1"/>
  <c r="A10418" i="1"/>
  <c r="A10417" i="1"/>
  <c r="A10416" i="1"/>
  <c r="A10415" i="1"/>
  <c r="A10414" i="1"/>
  <c r="A10413" i="1"/>
  <c r="A10412" i="1"/>
  <c r="A10411" i="1"/>
  <c r="A10410" i="1"/>
  <c r="A10409" i="1"/>
  <c r="A10408" i="1"/>
  <c r="A10407" i="1"/>
  <c r="A10406" i="1"/>
  <c r="A10405" i="1"/>
  <c r="A10404" i="1"/>
  <c r="A10403" i="1"/>
  <c r="A10402" i="1"/>
  <c r="A10401" i="1"/>
  <c r="A10400" i="1"/>
  <c r="A10399" i="1"/>
  <c r="A10398" i="1"/>
  <c r="A10397" i="1"/>
  <c r="A10396" i="1"/>
  <c r="A10395" i="1"/>
  <c r="A10394" i="1"/>
  <c r="A10393" i="1"/>
  <c r="A10392" i="1"/>
  <c r="A10391" i="1"/>
  <c r="A10390" i="1"/>
  <c r="A10389" i="1"/>
  <c r="A10388" i="1"/>
  <c r="A10387" i="1"/>
  <c r="A10386" i="1"/>
  <c r="A10385" i="1"/>
  <c r="A10384" i="1"/>
  <c r="A10383" i="1"/>
  <c r="A10382" i="1"/>
  <c r="A10381" i="1"/>
  <c r="A10380" i="1"/>
  <c r="A10379" i="1"/>
  <c r="A10378" i="1"/>
  <c r="A10377" i="1"/>
  <c r="A10376" i="1"/>
  <c r="A10375" i="1"/>
  <c r="A10374" i="1"/>
  <c r="A10373" i="1"/>
  <c r="A10372" i="1"/>
  <c r="A10371" i="1"/>
  <c r="A10370" i="1"/>
  <c r="A10369" i="1"/>
  <c r="A10368" i="1"/>
  <c r="A10367" i="1"/>
  <c r="A10366" i="1"/>
  <c r="A10365" i="1"/>
  <c r="A10364" i="1"/>
  <c r="A10363" i="1"/>
  <c r="A10362" i="1"/>
  <c r="A10361" i="1"/>
  <c r="A10360" i="1"/>
  <c r="A10359" i="1"/>
  <c r="A10358" i="1"/>
  <c r="A10357" i="1"/>
  <c r="A10356" i="1"/>
  <c r="A10355" i="1"/>
  <c r="A10354" i="1"/>
  <c r="A10353" i="1"/>
  <c r="A10352" i="1"/>
  <c r="A10351" i="1"/>
  <c r="A10350" i="1"/>
  <c r="A10349" i="1"/>
  <c r="A10348" i="1"/>
  <c r="A10347" i="1"/>
  <c r="A10346" i="1"/>
  <c r="A10345" i="1"/>
  <c r="A10344" i="1"/>
  <c r="A10343" i="1"/>
  <c r="A10342" i="1"/>
  <c r="A10341" i="1"/>
  <c r="A10340" i="1"/>
  <c r="A10339" i="1"/>
  <c r="A10338" i="1"/>
  <c r="A10337" i="1"/>
  <c r="A10336" i="1"/>
  <c r="A10335" i="1"/>
  <c r="A10334" i="1"/>
  <c r="A10333" i="1"/>
  <c r="A10332" i="1"/>
  <c r="A10331" i="1"/>
  <c r="A10330" i="1"/>
  <c r="A10329" i="1"/>
  <c r="A10328" i="1"/>
  <c r="A10327" i="1"/>
  <c r="A10326" i="1"/>
  <c r="A10325" i="1"/>
  <c r="A10324" i="1"/>
  <c r="A10323" i="1"/>
  <c r="A10322" i="1"/>
  <c r="A10321" i="1"/>
  <c r="A10320" i="1"/>
  <c r="A10319" i="1"/>
  <c r="A10318" i="1"/>
  <c r="A10317" i="1"/>
  <c r="A10316" i="1"/>
  <c r="A10315" i="1"/>
  <c r="A10314" i="1"/>
  <c r="A10313" i="1"/>
  <c r="A10312" i="1"/>
  <c r="A10311" i="1"/>
  <c r="A10310" i="1"/>
  <c r="A10309" i="1"/>
  <c r="A10308" i="1"/>
  <c r="A10307" i="1"/>
  <c r="A10306" i="1"/>
  <c r="A10305" i="1"/>
  <c r="A10304" i="1"/>
  <c r="A10303" i="1"/>
  <c r="A10302" i="1"/>
  <c r="A10301" i="1"/>
  <c r="A10300" i="1"/>
  <c r="A10299" i="1"/>
  <c r="A10298" i="1"/>
  <c r="A10297" i="1"/>
  <c r="A10296" i="1"/>
  <c r="A10295" i="1"/>
  <c r="A10294" i="1"/>
  <c r="A10293" i="1"/>
  <c r="A10292" i="1"/>
  <c r="A10291" i="1"/>
  <c r="A10290" i="1"/>
  <c r="A10289" i="1"/>
  <c r="A10288" i="1"/>
  <c r="A10287" i="1"/>
  <c r="A10286" i="1"/>
  <c r="A10285" i="1"/>
  <c r="A10284" i="1"/>
  <c r="A10283" i="1"/>
  <c r="A10282" i="1"/>
  <c r="A10281" i="1"/>
  <c r="A10280" i="1"/>
  <c r="A10279" i="1"/>
  <c r="A10278" i="1"/>
  <c r="A10277" i="1"/>
  <c r="A10276" i="1"/>
  <c r="A10275" i="1"/>
  <c r="A10274" i="1"/>
  <c r="A10273" i="1"/>
  <c r="A10272" i="1"/>
  <c r="A10271" i="1"/>
  <c r="A10270" i="1"/>
  <c r="A10269" i="1"/>
  <c r="A10268" i="1"/>
  <c r="A10267" i="1"/>
  <c r="A10266" i="1"/>
  <c r="A10265" i="1"/>
  <c r="A10264" i="1"/>
  <c r="A10263" i="1"/>
  <c r="A10262" i="1"/>
  <c r="A10261" i="1"/>
  <c r="A10260" i="1"/>
  <c r="A10259" i="1"/>
  <c r="A10258" i="1"/>
  <c r="A10257" i="1"/>
  <c r="A10256" i="1"/>
  <c r="A10255" i="1"/>
  <c r="A10254" i="1"/>
  <c r="A10253" i="1"/>
  <c r="A10252" i="1"/>
  <c r="A10251" i="1"/>
  <c r="A10250" i="1"/>
  <c r="A10249" i="1"/>
  <c r="A10248" i="1"/>
  <c r="A10247" i="1"/>
  <c r="A10246" i="1"/>
  <c r="A10245" i="1"/>
  <c r="A10244" i="1"/>
  <c r="A10243" i="1"/>
  <c r="A10242" i="1"/>
  <c r="A10241" i="1"/>
  <c r="A10240" i="1"/>
  <c r="A10239" i="1"/>
  <c r="A10238" i="1"/>
  <c r="A10237" i="1"/>
  <c r="A10236" i="1"/>
  <c r="A10235" i="1"/>
  <c r="A10234" i="1"/>
  <c r="A10233" i="1"/>
  <c r="A10232" i="1"/>
  <c r="A10231" i="1"/>
  <c r="A10230" i="1"/>
  <c r="A10229" i="1"/>
  <c r="A10228" i="1"/>
  <c r="A10227" i="1"/>
  <c r="A10226" i="1"/>
  <c r="A10225" i="1"/>
  <c r="A10224" i="1"/>
  <c r="A10223" i="1"/>
  <c r="A10222" i="1"/>
  <c r="A10221" i="1"/>
  <c r="A10220" i="1"/>
  <c r="A10219" i="1"/>
  <c r="A10218" i="1"/>
  <c r="A10217" i="1"/>
  <c r="A10216" i="1"/>
  <c r="A10215" i="1"/>
  <c r="A10214" i="1"/>
  <c r="A10213" i="1"/>
  <c r="A10212" i="1"/>
  <c r="A10211" i="1"/>
  <c r="A10210" i="1"/>
  <c r="A10209" i="1"/>
  <c r="A10208" i="1"/>
  <c r="A10207" i="1"/>
  <c r="A10206" i="1"/>
  <c r="A10205" i="1"/>
  <c r="A10204" i="1"/>
  <c r="A10203" i="1"/>
  <c r="A10202" i="1"/>
  <c r="A10201" i="1"/>
  <c r="A10200" i="1"/>
  <c r="A10199" i="1"/>
  <c r="A10198" i="1"/>
  <c r="A10197" i="1"/>
  <c r="A10196" i="1"/>
  <c r="A10195" i="1"/>
  <c r="A10194" i="1"/>
  <c r="A10193" i="1"/>
  <c r="A10192" i="1"/>
  <c r="A10191" i="1"/>
  <c r="A10190" i="1"/>
  <c r="A10189" i="1"/>
  <c r="A10188" i="1"/>
  <c r="A10187" i="1"/>
  <c r="A10186" i="1"/>
  <c r="A10185" i="1"/>
  <c r="A10184" i="1"/>
  <c r="A10183" i="1"/>
  <c r="A10182" i="1"/>
  <c r="A10181" i="1"/>
  <c r="A10180" i="1"/>
  <c r="A10179" i="1"/>
  <c r="A10178" i="1"/>
  <c r="A10177" i="1"/>
  <c r="A10176" i="1"/>
  <c r="A10175" i="1"/>
  <c r="A10174" i="1"/>
  <c r="A10173" i="1"/>
  <c r="A10172" i="1"/>
  <c r="A10171" i="1"/>
  <c r="A10170" i="1"/>
  <c r="A10169" i="1"/>
  <c r="A10168" i="1"/>
  <c r="A10167" i="1"/>
  <c r="A10166" i="1"/>
  <c r="A10165" i="1"/>
  <c r="A10164" i="1"/>
  <c r="A10163" i="1"/>
  <c r="A10162" i="1"/>
  <c r="A10161" i="1"/>
  <c r="A10160" i="1"/>
  <c r="A10159" i="1"/>
  <c r="A10158" i="1"/>
  <c r="A10157" i="1"/>
  <c r="A10156" i="1"/>
  <c r="A10155" i="1"/>
  <c r="A10154" i="1"/>
  <c r="A10153" i="1"/>
  <c r="A10152" i="1"/>
  <c r="A10151" i="1"/>
  <c r="A10150" i="1"/>
  <c r="A10149" i="1"/>
  <c r="A10148" i="1"/>
  <c r="A10147" i="1"/>
  <c r="A10146" i="1"/>
  <c r="A10145" i="1"/>
  <c r="A10144" i="1"/>
  <c r="A10143" i="1"/>
  <c r="A10142" i="1"/>
  <c r="A10141" i="1"/>
  <c r="A10140" i="1"/>
  <c r="A10139" i="1"/>
  <c r="A10138" i="1"/>
  <c r="A10137" i="1"/>
  <c r="A10136" i="1"/>
  <c r="A10135" i="1"/>
  <c r="A10134" i="1"/>
  <c r="A10133" i="1"/>
  <c r="A10132" i="1"/>
  <c r="A10131" i="1"/>
  <c r="A10130" i="1"/>
  <c r="A10129" i="1"/>
  <c r="A10128" i="1"/>
  <c r="A10127" i="1"/>
  <c r="A10126" i="1"/>
  <c r="A10125" i="1"/>
  <c r="A10124" i="1"/>
  <c r="A10123" i="1"/>
  <c r="A10122" i="1"/>
  <c r="A10121" i="1"/>
  <c r="A10120" i="1"/>
  <c r="A10119" i="1"/>
  <c r="A10118" i="1"/>
  <c r="A10117" i="1"/>
  <c r="A10116" i="1"/>
  <c r="A10115" i="1"/>
  <c r="A10114" i="1"/>
  <c r="A10113" i="1"/>
  <c r="A10112" i="1"/>
  <c r="A10111" i="1"/>
  <c r="A10110" i="1"/>
  <c r="A10109" i="1"/>
  <c r="A10108" i="1"/>
  <c r="A10107" i="1"/>
  <c r="A10106" i="1"/>
  <c r="A10105" i="1"/>
  <c r="A10104" i="1"/>
  <c r="A10103" i="1"/>
  <c r="A10102" i="1"/>
  <c r="A10101" i="1"/>
  <c r="A10100" i="1"/>
  <c r="A10099" i="1"/>
  <c r="A10098" i="1"/>
  <c r="A10097" i="1"/>
  <c r="A10096" i="1"/>
  <c r="A10095" i="1"/>
  <c r="A10094" i="1"/>
  <c r="A10093" i="1"/>
  <c r="A10092" i="1"/>
  <c r="A10091" i="1"/>
  <c r="A10090" i="1"/>
  <c r="A10089" i="1"/>
  <c r="A10088" i="1"/>
  <c r="A10087" i="1"/>
  <c r="A10086" i="1"/>
  <c r="A10085" i="1"/>
  <c r="A10084" i="1"/>
  <c r="A10083" i="1"/>
  <c r="A10082" i="1"/>
  <c r="A10081" i="1"/>
  <c r="A10080" i="1"/>
  <c r="A10079" i="1"/>
  <c r="A10078" i="1"/>
  <c r="A10077" i="1"/>
  <c r="A10076" i="1"/>
  <c r="A10075" i="1"/>
  <c r="A10074" i="1"/>
  <c r="A10073" i="1"/>
  <c r="A10072" i="1"/>
  <c r="A10071" i="1"/>
  <c r="A10070" i="1"/>
  <c r="A10069" i="1"/>
  <c r="A10068" i="1"/>
  <c r="A10067" i="1"/>
  <c r="A10066" i="1"/>
  <c r="A10065" i="1"/>
  <c r="A10064" i="1"/>
  <c r="A10063" i="1"/>
  <c r="A10062" i="1"/>
  <c r="A10061" i="1"/>
  <c r="A10060" i="1"/>
  <c r="A10059" i="1"/>
  <c r="A10058" i="1"/>
  <c r="A10057" i="1"/>
  <c r="A10056" i="1"/>
  <c r="A10055" i="1"/>
  <c r="A10054" i="1"/>
  <c r="A10053" i="1"/>
  <c r="A10052" i="1"/>
  <c r="A10051" i="1"/>
  <c r="A10050" i="1"/>
  <c r="A10049" i="1"/>
  <c r="A10048" i="1"/>
  <c r="A10047" i="1"/>
  <c r="A10046" i="1"/>
  <c r="A10045" i="1"/>
  <c r="A10044" i="1"/>
  <c r="A10043" i="1"/>
  <c r="A10042" i="1"/>
  <c r="A10041" i="1"/>
  <c r="A10040" i="1"/>
  <c r="A10039" i="1"/>
  <c r="A10038" i="1"/>
  <c r="A10037" i="1"/>
  <c r="A10036" i="1"/>
  <c r="A10035" i="1"/>
  <c r="A10034" i="1"/>
  <c r="A10033" i="1"/>
  <c r="A10032" i="1"/>
  <c r="A10031" i="1"/>
  <c r="A10030" i="1"/>
  <c r="A10029" i="1"/>
  <c r="A10028" i="1"/>
  <c r="A10027" i="1"/>
  <c r="A10026" i="1"/>
  <c r="A10025" i="1"/>
  <c r="A10024" i="1"/>
  <c r="A10023" i="1"/>
  <c r="A10022" i="1"/>
  <c r="A10021" i="1"/>
  <c r="A10020" i="1"/>
  <c r="A10019" i="1"/>
  <c r="A10018" i="1"/>
  <c r="A10017" i="1"/>
  <c r="A10016" i="1"/>
  <c r="A10015" i="1"/>
  <c r="A10014" i="1"/>
  <c r="A10013" i="1"/>
  <c r="A10012" i="1"/>
  <c r="A10011" i="1"/>
  <c r="A10010" i="1"/>
  <c r="A10009" i="1"/>
  <c r="A10008" i="1"/>
  <c r="A10007" i="1"/>
  <c r="A10006" i="1"/>
  <c r="A10005" i="1"/>
  <c r="A10004" i="1"/>
  <c r="A10003" i="1"/>
  <c r="A10002" i="1"/>
  <c r="A10001" i="1"/>
  <c r="A10000" i="1"/>
  <c r="A9999" i="1"/>
  <c r="A9998" i="1"/>
  <c r="A9997" i="1"/>
  <c r="A9996" i="1"/>
  <c r="A9995" i="1"/>
  <c r="A9994" i="1"/>
  <c r="A9993" i="1"/>
  <c r="A9992" i="1"/>
  <c r="A9991" i="1"/>
  <c r="A9990" i="1"/>
  <c r="A9989" i="1"/>
  <c r="A9988" i="1"/>
  <c r="A9987" i="1"/>
  <c r="A9986" i="1"/>
  <c r="A9985" i="1"/>
  <c r="A9984" i="1"/>
  <c r="A9983" i="1"/>
  <c r="A9982" i="1"/>
  <c r="A9981" i="1"/>
  <c r="A9980" i="1"/>
  <c r="A9979" i="1"/>
  <c r="A9978" i="1"/>
  <c r="A9977" i="1"/>
  <c r="A9976" i="1"/>
  <c r="A9975" i="1"/>
  <c r="A9974" i="1"/>
  <c r="A9973" i="1"/>
  <c r="A9972" i="1"/>
  <c r="A9971" i="1"/>
  <c r="A9970" i="1"/>
  <c r="A9969" i="1"/>
  <c r="A9968" i="1"/>
  <c r="A9967" i="1"/>
  <c r="A9966" i="1"/>
  <c r="A9965" i="1"/>
  <c r="A9964" i="1"/>
  <c r="A9963" i="1"/>
  <c r="A9962" i="1"/>
  <c r="A9961" i="1"/>
  <c r="A9960" i="1"/>
  <c r="A9959" i="1"/>
  <c r="A9958" i="1"/>
  <c r="A9957" i="1"/>
  <c r="A9956" i="1"/>
  <c r="A9955" i="1"/>
  <c r="A9954" i="1"/>
  <c r="A9953" i="1"/>
  <c r="A9952" i="1"/>
  <c r="A9951" i="1"/>
  <c r="A9950" i="1"/>
  <c r="A9949" i="1"/>
  <c r="A9948" i="1"/>
  <c r="A9947" i="1"/>
  <c r="A9946" i="1"/>
  <c r="A9945" i="1"/>
  <c r="A9944" i="1"/>
  <c r="A9943" i="1"/>
  <c r="A9942" i="1"/>
  <c r="A9941" i="1"/>
  <c r="A9940" i="1"/>
  <c r="A9939" i="1"/>
  <c r="A9938" i="1"/>
  <c r="A9937" i="1"/>
  <c r="A9936" i="1"/>
  <c r="A9935" i="1"/>
  <c r="A9934" i="1"/>
  <c r="A9933" i="1"/>
  <c r="A9932" i="1"/>
  <c r="A9931" i="1"/>
  <c r="A9930" i="1"/>
  <c r="A9929" i="1"/>
  <c r="A9928" i="1"/>
  <c r="A9927" i="1"/>
  <c r="A9926" i="1"/>
  <c r="A9925" i="1"/>
  <c r="A9924" i="1"/>
  <c r="A9923" i="1"/>
  <c r="A9922" i="1"/>
  <c r="A9921" i="1"/>
  <c r="A9920" i="1"/>
  <c r="A9919" i="1"/>
  <c r="A9918" i="1"/>
  <c r="A9917" i="1"/>
  <c r="A9916" i="1"/>
  <c r="A9915" i="1"/>
  <c r="A9914" i="1"/>
  <c r="A9913" i="1"/>
  <c r="A9912" i="1"/>
  <c r="A9911" i="1"/>
  <c r="A9910" i="1"/>
  <c r="A9909" i="1"/>
  <c r="A9908" i="1"/>
  <c r="A9907" i="1"/>
  <c r="A9906" i="1"/>
  <c r="A9905" i="1"/>
  <c r="A9904" i="1"/>
  <c r="A9903" i="1"/>
  <c r="A9902" i="1"/>
  <c r="A9901" i="1"/>
  <c r="A9900" i="1"/>
  <c r="A9899" i="1"/>
  <c r="A9898" i="1"/>
  <c r="A9897" i="1"/>
  <c r="A9896" i="1"/>
  <c r="A9895" i="1"/>
  <c r="A9894" i="1"/>
  <c r="A9893" i="1"/>
  <c r="A9892" i="1"/>
  <c r="A9891" i="1"/>
  <c r="A9890" i="1"/>
  <c r="A9889" i="1"/>
  <c r="A9888" i="1"/>
  <c r="A9887" i="1"/>
  <c r="A9886" i="1"/>
  <c r="A9885" i="1"/>
  <c r="A9884" i="1"/>
  <c r="A9883" i="1"/>
  <c r="A9882" i="1"/>
  <c r="A9881" i="1"/>
  <c r="A9880" i="1"/>
  <c r="A9879" i="1"/>
  <c r="A9878" i="1"/>
  <c r="A9877" i="1"/>
  <c r="A9876" i="1"/>
  <c r="A9875" i="1"/>
  <c r="A9874" i="1"/>
  <c r="A9873" i="1"/>
  <c r="A9872" i="1"/>
  <c r="A9871" i="1"/>
  <c r="A9870" i="1"/>
  <c r="A9869" i="1"/>
  <c r="A9868" i="1"/>
  <c r="A9867" i="1"/>
  <c r="A9866" i="1"/>
  <c r="A9865" i="1"/>
  <c r="A9864" i="1"/>
  <c r="A9863" i="1"/>
  <c r="A9862" i="1"/>
  <c r="A9861" i="1"/>
  <c r="A9860" i="1"/>
  <c r="A9859" i="1"/>
  <c r="A9858" i="1"/>
  <c r="A9857" i="1"/>
  <c r="A9856" i="1"/>
  <c r="A9855" i="1"/>
  <c r="A9854" i="1"/>
  <c r="A9853" i="1"/>
  <c r="A9852" i="1"/>
  <c r="A9851" i="1"/>
  <c r="A9850" i="1"/>
  <c r="A9849" i="1"/>
  <c r="A9848" i="1"/>
  <c r="A9847" i="1"/>
  <c r="A9846" i="1"/>
  <c r="A9845" i="1"/>
  <c r="A9844" i="1"/>
  <c r="A9843" i="1"/>
  <c r="A9842" i="1"/>
  <c r="A9841" i="1"/>
  <c r="A9840" i="1"/>
  <c r="A9839" i="1"/>
  <c r="A9838" i="1"/>
  <c r="A9837" i="1"/>
  <c r="A9836" i="1"/>
  <c r="A9835" i="1"/>
  <c r="A9834" i="1"/>
  <c r="A9833" i="1"/>
  <c r="A9832" i="1"/>
  <c r="A9831" i="1"/>
  <c r="A9830" i="1"/>
  <c r="A9829" i="1"/>
  <c r="A9828" i="1"/>
  <c r="A9827" i="1"/>
  <c r="A9826" i="1"/>
  <c r="A9825" i="1"/>
  <c r="A9824" i="1"/>
  <c r="A9823" i="1"/>
  <c r="A9822" i="1"/>
  <c r="A9821" i="1"/>
  <c r="A9820" i="1"/>
  <c r="A9819" i="1"/>
  <c r="A9818" i="1"/>
  <c r="A9817" i="1"/>
  <c r="A9816" i="1"/>
  <c r="A9815" i="1"/>
  <c r="A9814" i="1"/>
  <c r="A9813" i="1"/>
  <c r="A9812" i="1"/>
  <c r="A9811" i="1"/>
  <c r="A9810" i="1"/>
  <c r="A9809" i="1"/>
  <c r="A9808" i="1"/>
  <c r="A9807" i="1"/>
  <c r="A9806" i="1"/>
  <c r="A9805" i="1"/>
  <c r="A9804" i="1"/>
  <c r="A9803" i="1"/>
  <c r="A9802" i="1"/>
  <c r="A9801" i="1"/>
  <c r="A9800" i="1"/>
  <c r="A9799" i="1"/>
  <c r="A9798" i="1"/>
  <c r="A9797" i="1"/>
  <c r="A9796" i="1"/>
  <c r="A9795" i="1"/>
  <c r="A9794" i="1"/>
  <c r="A9793" i="1"/>
  <c r="A9792" i="1"/>
  <c r="A9791" i="1"/>
  <c r="A9790" i="1"/>
  <c r="A9789" i="1"/>
  <c r="A9788" i="1"/>
  <c r="A9787" i="1"/>
  <c r="A9786" i="1"/>
  <c r="A9785" i="1"/>
  <c r="A9784" i="1"/>
  <c r="A9783" i="1"/>
  <c r="A9782" i="1"/>
  <c r="A9781" i="1"/>
  <c r="A9780" i="1"/>
  <c r="A9779" i="1"/>
  <c r="A9778" i="1"/>
  <c r="A9777" i="1"/>
  <c r="A9776" i="1"/>
  <c r="A9775" i="1"/>
  <c r="A9774" i="1"/>
  <c r="A9773" i="1"/>
  <c r="A9772" i="1"/>
  <c r="A9771" i="1"/>
  <c r="A9770" i="1"/>
  <c r="A9769" i="1"/>
  <c r="A9768" i="1"/>
  <c r="A9767" i="1"/>
  <c r="A9766" i="1"/>
  <c r="A9765" i="1"/>
  <c r="A9764" i="1"/>
  <c r="A9763" i="1"/>
  <c r="A9762" i="1"/>
  <c r="A9761" i="1"/>
  <c r="A9760" i="1"/>
  <c r="A9759" i="1"/>
  <c r="A9758" i="1"/>
  <c r="A9757" i="1"/>
  <c r="A9756" i="1"/>
  <c r="A9755" i="1"/>
  <c r="A9754" i="1"/>
  <c r="A9753" i="1"/>
  <c r="A9752" i="1"/>
  <c r="A9751" i="1"/>
  <c r="A9750" i="1"/>
  <c r="A9749" i="1"/>
  <c r="A9748" i="1"/>
  <c r="A9747" i="1"/>
  <c r="A9746" i="1"/>
  <c r="A9745" i="1"/>
  <c r="A9744" i="1"/>
  <c r="A9743" i="1"/>
  <c r="A9742" i="1"/>
  <c r="A9741" i="1"/>
  <c r="A9740" i="1"/>
  <c r="A9739" i="1"/>
  <c r="A9738" i="1"/>
  <c r="A9737" i="1"/>
  <c r="A9736" i="1"/>
  <c r="A9735" i="1"/>
  <c r="A9734" i="1"/>
  <c r="A9733" i="1"/>
  <c r="A9732" i="1"/>
  <c r="A9731" i="1"/>
  <c r="A9730" i="1"/>
  <c r="A9729" i="1"/>
  <c r="A9728" i="1"/>
  <c r="A9727" i="1"/>
  <c r="A9726" i="1"/>
  <c r="A9725" i="1"/>
  <c r="A9724" i="1"/>
  <c r="A9723" i="1"/>
  <c r="A9722" i="1"/>
  <c r="A9721" i="1"/>
  <c r="A9720" i="1"/>
  <c r="A9719" i="1"/>
  <c r="A9718" i="1"/>
  <c r="A9717" i="1"/>
  <c r="A9716" i="1"/>
  <c r="A9715" i="1"/>
  <c r="A9714" i="1"/>
  <c r="A9713" i="1"/>
  <c r="A9712" i="1"/>
  <c r="A9711" i="1"/>
  <c r="A9710" i="1"/>
  <c r="A9709" i="1"/>
  <c r="A9708" i="1"/>
  <c r="A9707" i="1"/>
  <c r="A9706" i="1"/>
  <c r="A9705" i="1"/>
  <c r="A9704" i="1"/>
  <c r="A9703" i="1"/>
  <c r="A9702" i="1"/>
  <c r="A9701" i="1"/>
  <c r="A9700" i="1"/>
  <c r="A9699" i="1"/>
  <c r="A9698" i="1"/>
  <c r="A9697" i="1"/>
  <c r="A9696" i="1"/>
  <c r="A9695" i="1"/>
  <c r="A9694" i="1"/>
  <c r="A9693" i="1"/>
  <c r="A9692" i="1"/>
  <c r="A9691" i="1"/>
  <c r="A9690" i="1"/>
  <c r="A9689" i="1"/>
  <c r="A9688" i="1"/>
  <c r="A9687" i="1"/>
  <c r="A9686" i="1"/>
  <c r="A9685" i="1"/>
  <c r="A9684" i="1"/>
  <c r="A9683" i="1"/>
  <c r="A9682" i="1"/>
  <c r="A9681" i="1"/>
  <c r="A9680" i="1"/>
  <c r="A9679" i="1"/>
  <c r="A9678" i="1"/>
  <c r="A9677" i="1"/>
  <c r="A9676" i="1"/>
  <c r="A9675" i="1"/>
  <c r="A9674" i="1"/>
  <c r="A9673" i="1"/>
  <c r="A9672" i="1"/>
  <c r="A9671" i="1"/>
  <c r="A9670" i="1"/>
  <c r="A9669" i="1"/>
  <c r="A9668" i="1"/>
  <c r="A9667" i="1"/>
  <c r="A9666" i="1"/>
  <c r="A9665" i="1"/>
  <c r="A9664" i="1"/>
  <c r="A9663" i="1"/>
  <c r="A9662" i="1"/>
  <c r="A9661" i="1"/>
  <c r="A9660" i="1"/>
  <c r="A9659" i="1"/>
  <c r="A9658" i="1"/>
  <c r="A9657" i="1"/>
  <c r="A9656" i="1"/>
  <c r="A9655" i="1"/>
  <c r="A9654" i="1"/>
  <c r="A9653" i="1"/>
  <c r="A9652" i="1"/>
  <c r="A9651" i="1"/>
  <c r="A9650" i="1"/>
  <c r="A9649" i="1"/>
  <c r="A9648" i="1"/>
  <c r="A9647" i="1"/>
  <c r="A9646" i="1"/>
  <c r="A9645" i="1"/>
  <c r="A9644" i="1"/>
  <c r="A9643" i="1"/>
  <c r="A9642" i="1"/>
  <c r="A9641" i="1"/>
  <c r="A9640" i="1"/>
  <c r="A9639" i="1"/>
  <c r="A9638" i="1"/>
  <c r="A9637" i="1"/>
  <c r="A9636" i="1"/>
  <c r="A9635" i="1"/>
  <c r="A9634" i="1"/>
  <c r="A9633" i="1"/>
  <c r="A9632" i="1"/>
  <c r="A9631" i="1"/>
  <c r="A9630" i="1"/>
  <c r="A9629" i="1"/>
  <c r="A9628" i="1"/>
  <c r="A9627" i="1"/>
  <c r="A9626" i="1"/>
  <c r="A9625" i="1"/>
  <c r="A9624" i="1"/>
  <c r="A9623" i="1"/>
  <c r="A9622" i="1"/>
  <c r="A9621" i="1"/>
  <c r="A9620" i="1"/>
  <c r="A9619" i="1"/>
  <c r="A9618" i="1"/>
  <c r="A9617" i="1"/>
  <c r="A9616" i="1"/>
  <c r="A9615" i="1"/>
  <c r="A9614" i="1"/>
  <c r="A9613" i="1"/>
  <c r="A9612" i="1"/>
  <c r="A9611" i="1"/>
  <c r="A9610" i="1"/>
  <c r="A9609" i="1"/>
  <c r="A9608" i="1"/>
  <c r="A9607" i="1"/>
  <c r="A9606" i="1"/>
  <c r="A9605" i="1"/>
  <c r="A9604" i="1"/>
  <c r="A9603" i="1"/>
  <c r="A9602" i="1"/>
  <c r="A9601" i="1"/>
  <c r="A9600" i="1"/>
  <c r="A9599" i="1"/>
  <c r="A9598" i="1"/>
  <c r="A9597" i="1"/>
  <c r="A9596" i="1"/>
  <c r="A9595" i="1"/>
  <c r="A9594" i="1"/>
  <c r="A9593" i="1"/>
  <c r="A9592" i="1"/>
  <c r="A9591" i="1"/>
  <c r="A9590" i="1"/>
  <c r="A9589" i="1"/>
  <c r="A9588" i="1"/>
  <c r="A9587" i="1"/>
  <c r="A9586" i="1"/>
  <c r="A9585" i="1"/>
  <c r="A9584" i="1"/>
  <c r="A9583" i="1"/>
  <c r="A9582" i="1"/>
  <c r="A9581" i="1"/>
  <c r="A9580" i="1"/>
  <c r="A9579" i="1"/>
  <c r="A9578" i="1"/>
  <c r="A9577" i="1"/>
  <c r="A9576" i="1"/>
  <c r="A9575" i="1"/>
  <c r="A9574" i="1"/>
  <c r="A9573" i="1"/>
  <c r="A9572" i="1"/>
  <c r="A9571" i="1"/>
  <c r="A9570" i="1"/>
  <c r="A9569" i="1"/>
  <c r="A9568" i="1"/>
  <c r="A9567" i="1"/>
  <c r="A9566" i="1"/>
  <c r="A9565" i="1"/>
  <c r="A9564" i="1"/>
  <c r="A9563" i="1"/>
  <c r="A9562" i="1"/>
  <c r="A9561" i="1"/>
  <c r="A9560" i="1"/>
  <c r="A9559" i="1"/>
  <c r="A9558" i="1"/>
  <c r="A9557" i="1"/>
  <c r="A9556" i="1"/>
  <c r="A9555" i="1"/>
  <c r="A9554" i="1"/>
  <c r="A9553" i="1"/>
  <c r="A9552" i="1"/>
  <c r="A9551" i="1"/>
  <c r="A9550" i="1"/>
  <c r="A9549" i="1"/>
  <c r="A9548" i="1"/>
  <c r="A9547" i="1"/>
  <c r="A9546" i="1"/>
  <c r="A9545" i="1"/>
  <c r="A9544" i="1"/>
  <c r="A9543" i="1"/>
  <c r="A9542" i="1"/>
  <c r="A9541" i="1"/>
  <c r="A9540" i="1"/>
  <c r="A9539" i="1"/>
  <c r="A9538" i="1"/>
  <c r="A9537" i="1"/>
  <c r="A9536" i="1"/>
  <c r="A9535" i="1"/>
  <c r="A9534" i="1"/>
  <c r="A9533" i="1"/>
  <c r="A9532" i="1"/>
  <c r="A9531" i="1"/>
  <c r="A9530" i="1"/>
  <c r="A9529" i="1"/>
  <c r="A9528" i="1"/>
  <c r="A9527" i="1"/>
  <c r="A9526" i="1"/>
  <c r="A9525" i="1"/>
  <c r="A9524" i="1"/>
  <c r="A9523" i="1"/>
  <c r="A9522" i="1"/>
  <c r="A9521" i="1"/>
  <c r="A9520" i="1"/>
  <c r="A9519" i="1"/>
  <c r="A9518" i="1"/>
  <c r="A9517" i="1"/>
  <c r="A9516" i="1"/>
  <c r="A9515" i="1"/>
  <c r="A9514" i="1"/>
  <c r="A9513" i="1"/>
  <c r="A9512" i="1"/>
  <c r="A9511" i="1"/>
  <c r="A9510" i="1"/>
  <c r="A9509" i="1"/>
  <c r="A9508" i="1"/>
  <c r="A9507" i="1"/>
  <c r="A9506" i="1"/>
  <c r="A9505" i="1"/>
  <c r="A9504" i="1"/>
  <c r="A9503" i="1"/>
  <c r="A9502" i="1"/>
  <c r="A9501" i="1"/>
  <c r="A9500" i="1"/>
  <c r="A9499" i="1"/>
  <c r="A9498" i="1"/>
  <c r="A9497" i="1"/>
  <c r="A9496" i="1"/>
  <c r="A9495" i="1"/>
  <c r="A9494" i="1"/>
  <c r="A9493" i="1"/>
  <c r="A9492" i="1"/>
  <c r="A9491" i="1"/>
  <c r="A9490" i="1"/>
  <c r="A9489" i="1"/>
  <c r="A9488" i="1"/>
  <c r="A9487" i="1"/>
  <c r="A9486" i="1"/>
  <c r="A9485" i="1"/>
  <c r="A9484" i="1"/>
  <c r="A9483" i="1"/>
  <c r="A9482" i="1"/>
  <c r="A9481" i="1"/>
  <c r="A9480" i="1"/>
  <c r="A9479" i="1"/>
  <c r="A9478" i="1"/>
  <c r="A9477" i="1"/>
  <c r="A9476" i="1"/>
  <c r="A9475" i="1"/>
  <c r="A9474" i="1"/>
  <c r="A9473" i="1"/>
  <c r="A9472" i="1"/>
  <c r="A9471" i="1"/>
  <c r="A9470" i="1"/>
  <c r="A9469" i="1"/>
  <c r="A9468" i="1"/>
  <c r="A9467" i="1"/>
  <c r="A9466" i="1"/>
  <c r="A9465" i="1"/>
  <c r="A9464" i="1"/>
  <c r="A9463" i="1"/>
  <c r="A9462" i="1"/>
  <c r="A9461" i="1"/>
  <c r="A9460" i="1"/>
  <c r="A9459" i="1"/>
  <c r="A9458" i="1"/>
  <c r="A9457" i="1"/>
  <c r="A9456" i="1"/>
  <c r="A9455" i="1"/>
  <c r="A9454" i="1"/>
  <c r="A9453" i="1"/>
  <c r="A9452" i="1"/>
  <c r="A9451" i="1"/>
  <c r="A9450" i="1"/>
  <c r="A9449" i="1"/>
  <c r="A9448" i="1"/>
  <c r="A9447" i="1"/>
  <c r="A9446" i="1"/>
  <c r="A9445" i="1"/>
  <c r="A9444" i="1"/>
  <c r="A9443" i="1"/>
  <c r="A9442" i="1"/>
  <c r="A9441" i="1"/>
  <c r="A9440" i="1"/>
  <c r="A9439" i="1"/>
  <c r="A9438" i="1"/>
  <c r="A9437" i="1"/>
  <c r="A9436" i="1"/>
  <c r="A9435" i="1"/>
  <c r="A9434" i="1"/>
  <c r="A9433" i="1"/>
  <c r="A9432" i="1"/>
  <c r="A9431" i="1"/>
  <c r="A9430" i="1"/>
  <c r="A9429" i="1"/>
  <c r="A9428" i="1"/>
  <c r="A9427" i="1"/>
  <c r="A9426" i="1"/>
  <c r="A9425" i="1"/>
  <c r="A9424" i="1"/>
  <c r="A9423" i="1"/>
  <c r="A9422" i="1"/>
  <c r="A9421" i="1"/>
  <c r="A9420" i="1"/>
  <c r="A9419" i="1"/>
  <c r="A9418" i="1"/>
  <c r="A9417" i="1"/>
  <c r="A9416" i="1"/>
  <c r="A9415" i="1"/>
  <c r="A9414" i="1"/>
  <c r="A9413" i="1"/>
  <c r="A9412" i="1"/>
  <c r="A9411" i="1"/>
  <c r="A9410" i="1"/>
  <c r="A9409" i="1"/>
  <c r="A9408" i="1"/>
  <c r="A9407" i="1"/>
  <c r="A9406" i="1"/>
  <c r="A9405" i="1"/>
  <c r="A9404" i="1"/>
  <c r="A9403" i="1"/>
  <c r="A9402" i="1"/>
  <c r="A9401" i="1"/>
  <c r="A9400" i="1"/>
  <c r="A9399" i="1"/>
  <c r="A9398" i="1"/>
  <c r="A9397" i="1"/>
  <c r="A9396" i="1"/>
  <c r="A9395" i="1"/>
  <c r="A9394" i="1"/>
  <c r="A9393" i="1"/>
  <c r="A9392" i="1"/>
  <c r="A9391" i="1"/>
  <c r="A9390" i="1"/>
  <c r="A9389" i="1"/>
  <c r="A9388" i="1"/>
  <c r="A9387" i="1"/>
  <c r="A9386" i="1"/>
  <c r="A9385" i="1"/>
  <c r="A9384" i="1"/>
  <c r="A9383" i="1"/>
  <c r="A9382" i="1"/>
  <c r="A9381" i="1"/>
  <c r="A9380" i="1"/>
  <c r="A9379" i="1"/>
  <c r="A9378" i="1"/>
  <c r="A9377" i="1"/>
  <c r="A9376" i="1"/>
  <c r="A9375" i="1"/>
  <c r="A9374" i="1"/>
  <c r="A9373" i="1"/>
  <c r="A9372" i="1"/>
  <c r="A9371" i="1"/>
  <c r="A9370" i="1"/>
  <c r="A9369" i="1"/>
  <c r="A9368" i="1"/>
  <c r="A9367" i="1"/>
  <c r="A9366" i="1"/>
  <c r="A9365" i="1"/>
  <c r="A9364" i="1"/>
  <c r="A9363" i="1"/>
  <c r="A9362" i="1"/>
  <c r="A9361" i="1"/>
  <c r="A9360" i="1"/>
  <c r="A9359" i="1"/>
  <c r="A9358" i="1"/>
  <c r="A9357" i="1"/>
  <c r="A9356" i="1"/>
  <c r="A9355" i="1"/>
  <c r="A9354" i="1"/>
  <c r="A9353" i="1"/>
  <c r="A9352" i="1"/>
  <c r="A9351" i="1"/>
  <c r="A9350" i="1"/>
  <c r="A9349" i="1"/>
  <c r="A9348" i="1"/>
  <c r="A9347" i="1"/>
  <c r="A9346" i="1"/>
  <c r="A9345" i="1"/>
  <c r="A9344" i="1"/>
  <c r="A9343" i="1"/>
  <c r="A9342" i="1"/>
  <c r="A9341" i="1"/>
  <c r="A9340" i="1"/>
  <c r="A9339" i="1"/>
  <c r="A9338" i="1"/>
  <c r="A9337" i="1"/>
  <c r="A9336" i="1"/>
  <c r="A9335" i="1"/>
  <c r="A9334" i="1"/>
  <c r="A9333" i="1"/>
  <c r="A9332" i="1"/>
  <c r="A9331" i="1"/>
  <c r="A9330" i="1"/>
  <c r="A9329" i="1"/>
  <c r="A9328" i="1"/>
  <c r="A9327" i="1"/>
  <c r="A9326" i="1"/>
  <c r="A9325" i="1"/>
  <c r="A9324" i="1"/>
  <c r="A9323" i="1"/>
  <c r="A9322" i="1"/>
  <c r="A9321" i="1"/>
  <c r="A9320" i="1"/>
  <c r="A9319" i="1"/>
  <c r="A9318" i="1"/>
  <c r="A9317" i="1"/>
  <c r="A9316" i="1"/>
  <c r="A9315" i="1"/>
  <c r="A9314" i="1"/>
  <c r="A9313" i="1"/>
  <c r="A9312" i="1"/>
  <c r="A9311" i="1"/>
  <c r="A9310" i="1"/>
  <c r="A9309" i="1"/>
  <c r="A9308" i="1"/>
  <c r="A9307" i="1"/>
  <c r="A9306" i="1"/>
  <c r="A9305" i="1"/>
  <c r="A9304" i="1"/>
  <c r="A9303" i="1"/>
  <c r="A9302" i="1"/>
  <c r="A9301" i="1"/>
  <c r="A9300" i="1"/>
  <c r="A9299" i="1"/>
  <c r="A9298" i="1"/>
  <c r="A9297" i="1"/>
  <c r="A9296" i="1"/>
  <c r="A9295" i="1"/>
  <c r="A9294" i="1"/>
  <c r="A9293" i="1"/>
  <c r="A9292" i="1"/>
  <c r="A9291" i="1"/>
  <c r="A9290" i="1"/>
  <c r="A9289" i="1"/>
  <c r="A9288" i="1"/>
  <c r="A9287" i="1"/>
  <c r="A9286" i="1"/>
  <c r="A9285" i="1"/>
  <c r="A9284" i="1"/>
  <c r="A9283" i="1"/>
  <c r="A9282" i="1"/>
  <c r="A9281" i="1"/>
  <c r="A9280" i="1"/>
  <c r="A9279" i="1"/>
  <c r="A9278" i="1"/>
  <c r="A9277" i="1"/>
  <c r="A9276" i="1"/>
  <c r="A9275" i="1"/>
  <c r="A9274" i="1"/>
  <c r="A9273" i="1"/>
  <c r="A9272" i="1"/>
  <c r="A9271" i="1"/>
  <c r="A9270" i="1"/>
  <c r="A9269" i="1"/>
  <c r="A9268" i="1"/>
  <c r="A9267" i="1"/>
  <c r="A9266" i="1"/>
  <c r="A9265" i="1"/>
  <c r="A9264" i="1"/>
  <c r="A9263" i="1"/>
  <c r="A9262" i="1"/>
  <c r="A9261" i="1"/>
  <c r="A9260" i="1"/>
  <c r="A9259" i="1"/>
  <c r="A9258" i="1"/>
  <c r="A9257" i="1"/>
  <c r="A9256" i="1"/>
  <c r="A9255" i="1"/>
  <c r="A9254" i="1"/>
  <c r="A9253" i="1"/>
  <c r="A9252" i="1"/>
  <c r="A9251" i="1"/>
  <c r="A9250" i="1"/>
  <c r="A9249" i="1"/>
  <c r="A9248" i="1"/>
  <c r="A9247" i="1"/>
  <c r="A9246" i="1"/>
  <c r="A9245" i="1"/>
  <c r="A9244" i="1"/>
  <c r="A9243" i="1"/>
  <c r="A9242" i="1"/>
  <c r="A9241" i="1"/>
  <c r="A9240" i="1"/>
  <c r="A9239" i="1"/>
  <c r="A9238" i="1"/>
  <c r="A9237" i="1"/>
  <c r="A9236" i="1"/>
  <c r="A9235" i="1"/>
  <c r="A9234" i="1"/>
  <c r="A9233" i="1"/>
  <c r="A9232" i="1"/>
  <c r="A9231" i="1"/>
  <c r="A9230" i="1"/>
  <c r="A9229" i="1"/>
  <c r="A9228" i="1"/>
  <c r="A9227" i="1"/>
  <c r="A9226" i="1"/>
  <c r="A9225" i="1"/>
  <c r="A9224" i="1"/>
  <c r="A9223" i="1"/>
  <c r="A9222" i="1"/>
  <c r="A9221" i="1"/>
  <c r="A9220" i="1"/>
  <c r="A9219" i="1"/>
  <c r="A9218" i="1"/>
  <c r="A9217" i="1"/>
  <c r="A9216" i="1"/>
  <c r="A9215" i="1"/>
  <c r="A9214" i="1"/>
  <c r="A9213" i="1"/>
  <c r="A9212" i="1"/>
  <c r="A9211" i="1"/>
  <c r="A9210" i="1"/>
  <c r="A9209" i="1"/>
  <c r="A9208" i="1"/>
  <c r="A9207" i="1"/>
  <c r="A9206" i="1"/>
  <c r="A9205" i="1"/>
  <c r="A9204" i="1"/>
  <c r="A9203" i="1"/>
  <c r="A9202" i="1"/>
  <c r="A9201" i="1"/>
  <c r="A9200" i="1"/>
  <c r="A9199" i="1"/>
  <c r="A9198" i="1"/>
  <c r="A9197" i="1"/>
  <c r="A9196" i="1"/>
  <c r="A9195" i="1"/>
  <c r="A9194" i="1"/>
  <c r="A9193" i="1"/>
  <c r="A9192" i="1"/>
  <c r="A9191" i="1"/>
  <c r="A9190" i="1"/>
  <c r="A9189" i="1"/>
  <c r="A9188" i="1"/>
  <c r="A9187" i="1"/>
  <c r="A9186" i="1"/>
  <c r="A9185" i="1"/>
  <c r="A9184" i="1"/>
  <c r="A9183" i="1"/>
  <c r="A9182" i="1"/>
  <c r="A9181" i="1"/>
  <c r="A9180" i="1"/>
  <c r="A9179" i="1"/>
  <c r="A9178" i="1"/>
  <c r="A9177" i="1"/>
  <c r="A9176" i="1"/>
  <c r="A9175" i="1"/>
  <c r="A9174" i="1"/>
  <c r="A9173" i="1"/>
  <c r="A9172" i="1"/>
  <c r="A9171" i="1"/>
  <c r="A9170" i="1"/>
  <c r="A9169" i="1"/>
  <c r="A9168" i="1"/>
  <c r="A9167" i="1"/>
  <c r="A9166" i="1"/>
  <c r="A9165" i="1"/>
  <c r="A9164" i="1"/>
  <c r="A9163" i="1"/>
  <c r="A9162" i="1"/>
  <c r="A9161" i="1"/>
  <c r="A9160" i="1"/>
  <c r="A9159" i="1"/>
  <c r="A9158" i="1"/>
  <c r="A9157" i="1"/>
  <c r="A9156" i="1"/>
  <c r="A9155" i="1"/>
  <c r="A9154" i="1"/>
  <c r="A9153" i="1"/>
  <c r="A9152" i="1"/>
  <c r="A9151" i="1"/>
  <c r="A9150" i="1"/>
  <c r="A9149" i="1"/>
  <c r="A9148" i="1"/>
  <c r="A9147" i="1"/>
  <c r="A9146" i="1"/>
  <c r="A9145" i="1"/>
  <c r="A9144" i="1"/>
  <c r="A9143" i="1"/>
  <c r="A9142" i="1"/>
  <c r="A9141" i="1"/>
  <c r="A9140" i="1"/>
  <c r="A9139" i="1"/>
  <c r="A9138" i="1"/>
  <c r="A9137" i="1"/>
  <c r="A9136" i="1"/>
  <c r="A9135" i="1"/>
  <c r="A9134" i="1"/>
  <c r="A9133" i="1"/>
  <c r="A9132" i="1"/>
  <c r="A9131" i="1"/>
  <c r="A9130" i="1"/>
  <c r="A9129" i="1"/>
  <c r="A9128" i="1"/>
  <c r="A9127" i="1"/>
  <c r="A9126" i="1"/>
  <c r="A9125" i="1"/>
  <c r="A9124" i="1"/>
  <c r="A9123" i="1"/>
  <c r="A9122" i="1"/>
  <c r="A9121" i="1"/>
  <c r="A9120" i="1"/>
  <c r="A9119" i="1"/>
  <c r="A9118" i="1"/>
  <c r="A9117" i="1"/>
  <c r="A9116" i="1"/>
  <c r="A9115" i="1"/>
  <c r="A9114" i="1"/>
  <c r="A9113" i="1"/>
  <c r="A9112" i="1"/>
  <c r="A9111" i="1"/>
  <c r="A9110" i="1"/>
  <c r="A9109" i="1"/>
  <c r="A9108" i="1"/>
  <c r="A9107" i="1"/>
  <c r="A9106" i="1"/>
  <c r="A9105" i="1"/>
  <c r="A9104" i="1"/>
  <c r="A9103" i="1"/>
  <c r="A9102" i="1"/>
  <c r="A9101" i="1"/>
  <c r="A9100" i="1"/>
  <c r="A9099" i="1"/>
  <c r="A9098" i="1"/>
  <c r="A9097" i="1"/>
  <c r="A9096" i="1"/>
  <c r="A9095" i="1"/>
  <c r="A9094" i="1"/>
  <c r="A9093" i="1"/>
  <c r="A9092" i="1"/>
  <c r="A9091" i="1"/>
  <c r="A9090" i="1"/>
  <c r="A9089" i="1"/>
  <c r="A9088" i="1"/>
  <c r="A9087" i="1"/>
  <c r="A9086" i="1"/>
  <c r="A9085" i="1"/>
  <c r="A9084" i="1"/>
  <c r="A9083" i="1"/>
  <c r="A9082" i="1"/>
  <c r="A9081" i="1"/>
  <c r="A9080" i="1"/>
  <c r="A9079" i="1"/>
  <c r="A9078" i="1"/>
  <c r="A9077" i="1"/>
  <c r="A9076" i="1"/>
  <c r="A9075" i="1"/>
  <c r="A9074" i="1"/>
  <c r="A9073" i="1"/>
  <c r="A9072" i="1"/>
  <c r="A9071" i="1"/>
  <c r="A9070" i="1"/>
  <c r="A9069" i="1"/>
  <c r="A9068" i="1"/>
  <c r="A9067" i="1"/>
  <c r="A9066" i="1"/>
  <c r="A9065" i="1"/>
  <c r="A9064" i="1"/>
  <c r="A9063" i="1"/>
  <c r="A9062" i="1"/>
  <c r="A9061" i="1"/>
  <c r="A9060" i="1"/>
  <c r="A9059" i="1"/>
  <c r="A9058" i="1"/>
  <c r="A9057" i="1"/>
  <c r="A9056" i="1"/>
  <c r="A9055" i="1"/>
  <c r="A9054" i="1"/>
  <c r="A9053" i="1"/>
  <c r="A9052" i="1"/>
  <c r="A9051" i="1"/>
  <c r="A9050" i="1"/>
  <c r="A9049" i="1"/>
  <c r="A9048" i="1"/>
  <c r="A9047" i="1"/>
  <c r="A9046" i="1"/>
  <c r="A9045" i="1"/>
  <c r="A9044" i="1"/>
  <c r="A9043" i="1"/>
  <c r="A9042" i="1"/>
  <c r="A9041" i="1"/>
  <c r="A9040" i="1"/>
  <c r="A9039" i="1"/>
  <c r="A9038" i="1"/>
  <c r="A9037" i="1"/>
  <c r="A9036" i="1"/>
  <c r="A9035" i="1"/>
  <c r="A9034" i="1"/>
  <c r="A9033" i="1"/>
  <c r="A9032" i="1"/>
  <c r="A9031" i="1"/>
  <c r="A9030" i="1"/>
  <c r="A9029" i="1"/>
  <c r="A9028" i="1"/>
  <c r="A9027" i="1"/>
  <c r="A9026" i="1"/>
  <c r="A9025" i="1"/>
  <c r="A9024" i="1"/>
  <c r="A9023" i="1"/>
  <c r="A9022" i="1"/>
  <c r="A9021" i="1"/>
  <c r="A9020" i="1"/>
  <c r="A9019" i="1"/>
  <c r="A9018" i="1"/>
  <c r="A9017" i="1"/>
  <c r="A9016" i="1"/>
  <c r="A9015" i="1"/>
  <c r="A9014" i="1"/>
  <c r="A9013" i="1"/>
  <c r="A9012" i="1"/>
  <c r="A9011" i="1"/>
  <c r="A9010" i="1"/>
  <c r="A9009" i="1"/>
  <c r="A9008" i="1"/>
  <c r="A9007" i="1"/>
  <c r="A9006" i="1"/>
  <c r="A9005" i="1"/>
  <c r="A9004" i="1"/>
  <c r="A9003" i="1"/>
  <c r="A9002" i="1"/>
  <c r="A9001" i="1"/>
  <c r="A9000" i="1"/>
  <c r="A8999" i="1"/>
  <c r="A8998" i="1"/>
  <c r="A8997" i="1"/>
  <c r="A8996" i="1"/>
  <c r="A8995" i="1"/>
  <c r="A8994" i="1"/>
  <c r="A8993" i="1"/>
  <c r="A8992" i="1"/>
  <c r="A8991" i="1"/>
  <c r="A8990" i="1"/>
  <c r="A8989" i="1"/>
  <c r="A8988" i="1"/>
  <c r="A8987" i="1"/>
  <c r="A8986" i="1"/>
  <c r="A8985" i="1"/>
  <c r="A8984" i="1"/>
  <c r="A8983" i="1"/>
  <c r="A8982" i="1"/>
  <c r="A8981" i="1"/>
  <c r="A8980" i="1"/>
  <c r="A8979" i="1"/>
  <c r="A8978" i="1"/>
  <c r="A8977" i="1"/>
  <c r="A8976" i="1"/>
  <c r="A8975" i="1"/>
  <c r="A8974" i="1"/>
  <c r="A8973" i="1"/>
  <c r="A8972" i="1"/>
  <c r="A8971" i="1"/>
  <c r="A8970" i="1"/>
  <c r="A8969" i="1"/>
  <c r="A8968" i="1"/>
  <c r="A8967" i="1"/>
  <c r="A8966" i="1"/>
  <c r="A8965" i="1"/>
  <c r="A8964" i="1"/>
  <c r="A8963" i="1"/>
  <c r="A8962" i="1"/>
  <c r="A8961" i="1"/>
  <c r="A8960" i="1"/>
  <c r="A8959" i="1"/>
  <c r="A8958" i="1"/>
  <c r="A8957" i="1"/>
  <c r="A8956" i="1"/>
  <c r="A8955" i="1"/>
  <c r="A8954" i="1"/>
  <c r="A8953" i="1"/>
  <c r="A8952" i="1"/>
  <c r="A8951" i="1"/>
  <c r="A8950" i="1"/>
  <c r="A8949" i="1"/>
  <c r="A8948" i="1"/>
  <c r="A8947" i="1"/>
  <c r="A8946" i="1"/>
  <c r="A8945" i="1"/>
  <c r="A8944" i="1"/>
  <c r="A8943" i="1"/>
  <c r="A8942" i="1"/>
  <c r="A8941" i="1"/>
  <c r="A8940" i="1"/>
  <c r="A8939" i="1"/>
  <c r="A8938" i="1"/>
  <c r="A8937" i="1"/>
  <c r="A8936" i="1"/>
  <c r="A8935" i="1"/>
  <c r="A8934" i="1"/>
  <c r="A8933" i="1"/>
  <c r="A8932" i="1"/>
  <c r="A8931" i="1"/>
  <c r="A8930" i="1"/>
  <c r="A8929" i="1"/>
  <c r="A8928" i="1"/>
  <c r="A8927" i="1"/>
  <c r="A8926" i="1"/>
  <c r="A8925" i="1"/>
  <c r="A8924" i="1"/>
  <c r="A8923" i="1"/>
  <c r="A8922" i="1"/>
  <c r="A8921" i="1"/>
  <c r="A8920" i="1"/>
  <c r="A8919" i="1"/>
  <c r="A8918" i="1"/>
  <c r="A8917" i="1"/>
  <c r="A8916" i="1"/>
  <c r="A8915" i="1"/>
  <c r="A8914" i="1"/>
  <c r="A8913" i="1"/>
  <c r="A8912" i="1"/>
  <c r="A8911" i="1"/>
  <c r="A8910" i="1"/>
  <c r="A8909" i="1"/>
  <c r="A8908" i="1"/>
  <c r="A8907" i="1"/>
  <c r="A8906" i="1"/>
  <c r="A8905" i="1"/>
  <c r="A8904" i="1"/>
  <c r="A8903" i="1"/>
  <c r="A8902" i="1"/>
  <c r="A8901" i="1"/>
  <c r="A8900" i="1"/>
  <c r="A8899" i="1"/>
  <c r="A8898" i="1"/>
  <c r="A8897" i="1"/>
  <c r="A8896" i="1"/>
  <c r="A8895" i="1"/>
  <c r="A8894" i="1"/>
  <c r="A8893" i="1"/>
  <c r="A8892" i="1"/>
  <c r="A8891" i="1"/>
  <c r="A8890" i="1"/>
  <c r="A8889" i="1"/>
  <c r="A8888" i="1"/>
  <c r="A8887" i="1"/>
  <c r="A8886" i="1"/>
  <c r="A8885" i="1"/>
  <c r="A8884" i="1"/>
  <c r="A8883" i="1"/>
  <c r="A8882" i="1"/>
  <c r="A8881" i="1"/>
  <c r="A8880" i="1"/>
  <c r="A8879" i="1"/>
  <c r="A8878" i="1"/>
  <c r="A8877" i="1"/>
  <c r="A8876" i="1"/>
  <c r="A8875" i="1"/>
  <c r="A8874" i="1"/>
  <c r="A8873" i="1"/>
  <c r="A8872" i="1"/>
  <c r="A8871" i="1"/>
  <c r="A8870" i="1"/>
  <c r="A8869" i="1"/>
  <c r="A8868" i="1"/>
  <c r="A8867" i="1"/>
  <c r="A8866" i="1"/>
  <c r="A8865" i="1"/>
  <c r="A8864" i="1"/>
  <c r="A8863" i="1"/>
  <c r="A8862" i="1"/>
  <c r="A8861" i="1"/>
  <c r="A8860" i="1"/>
  <c r="A8859" i="1"/>
  <c r="A8858" i="1"/>
  <c r="A8857" i="1"/>
  <c r="A8856" i="1"/>
  <c r="A8855" i="1"/>
  <c r="A8854" i="1"/>
  <c r="A8853" i="1"/>
  <c r="A8852" i="1"/>
  <c r="A8851" i="1"/>
  <c r="A8850" i="1"/>
  <c r="A8849" i="1"/>
  <c r="A8848" i="1"/>
  <c r="A8847" i="1"/>
  <c r="A8846" i="1"/>
  <c r="A8845" i="1"/>
  <c r="A8844" i="1"/>
  <c r="A8843" i="1"/>
  <c r="A8842" i="1"/>
  <c r="A8841" i="1"/>
  <c r="A8840" i="1"/>
  <c r="A8839" i="1"/>
  <c r="A8838" i="1"/>
  <c r="A8837" i="1"/>
  <c r="A8836" i="1"/>
  <c r="A8835" i="1"/>
  <c r="A8834" i="1"/>
  <c r="A8833" i="1"/>
  <c r="A8832" i="1"/>
  <c r="A8831" i="1"/>
  <c r="A8830" i="1"/>
  <c r="A8829" i="1"/>
  <c r="A8828" i="1"/>
  <c r="A8827" i="1"/>
  <c r="A8826" i="1"/>
  <c r="A8825" i="1"/>
  <c r="A8824" i="1"/>
  <c r="A8823" i="1"/>
  <c r="A8822" i="1"/>
  <c r="A8821" i="1"/>
  <c r="A8820" i="1"/>
  <c r="A8819" i="1"/>
  <c r="A8818" i="1"/>
  <c r="A8817" i="1"/>
  <c r="A8816" i="1"/>
  <c r="A8815" i="1"/>
  <c r="A8814" i="1"/>
  <c r="A8813" i="1"/>
  <c r="A8812" i="1"/>
  <c r="A8811" i="1"/>
  <c r="A8810" i="1"/>
  <c r="A8809" i="1"/>
  <c r="A8808" i="1"/>
  <c r="A8807" i="1"/>
  <c r="A8806" i="1"/>
  <c r="A8805" i="1"/>
  <c r="A8804" i="1"/>
  <c r="A8803" i="1"/>
  <c r="A8802" i="1"/>
  <c r="A8801" i="1"/>
  <c r="A8800" i="1"/>
  <c r="A8799" i="1"/>
  <c r="A8798" i="1"/>
  <c r="A8797" i="1"/>
  <c r="A8796" i="1"/>
  <c r="A8795" i="1"/>
  <c r="A8794" i="1"/>
  <c r="A8793" i="1"/>
  <c r="A8792" i="1"/>
  <c r="A8791" i="1"/>
  <c r="A8790" i="1"/>
  <c r="A8789" i="1"/>
  <c r="A8788" i="1"/>
  <c r="A8787" i="1"/>
  <c r="A8786" i="1"/>
  <c r="A8785" i="1"/>
  <c r="A8784" i="1"/>
  <c r="A8783" i="1"/>
  <c r="A8782" i="1"/>
  <c r="A8781" i="1"/>
  <c r="A8780" i="1"/>
  <c r="A8779" i="1"/>
  <c r="A8778" i="1"/>
  <c r="A8777" i="1"/>
  <c r="A8776" i="1"/>
  <c r="A8775" i="1"/>
  <c r="A8774" i="1"/>
  <c r="A8773" i="1"/>
  <c r="A8772" i="1"/>
  <c r="A8771" i="1"/>
  <c r="A8770" i="1"/>
  <c r="A8769" i="1"/>
  <c r="A8768" i="1"/>
  <c r="A8767" i="1"/>
  <c r="A8766" i="1"/>
  <c r="A8765" i="1"/>
  <c r="A8764" i="1"/>
  <c r="A8763" i="1"/>
  <c r="A8762" i="1"/>
  <c r="A8761" i="1"/>
  <c r="A8760" i="1"/>
  <c r="A8759" i="1"/>
  <c r="A8758" i="1"/>
  <c r="A8757" i="1"/>
  <c r="A8756" i="1"/>
  <c r="A8755" i="1"/>
  <c r="A8754" i="1"/>
  <c r="A8753" i="1"/>
  <c r="A8752" i="1"/>
  <c r="A8751" i="1"/>
  <c r="A8750" i="1"/>
  <c r="A8749" i="1"/>
  <c r="A8748" i="1"/>
  <c r="A8747" i="1"/>
  <c r="A8746" i="1"/>
  <c r="A8745" i="1"/>
  <c r="A8744" i="1"/>
  <c r="A8743" i="1"/>
  <c r="A8742" i="1"/>
  <c r="A8741" i="1"/>
  <c r="A8740" i="1"/>
  <c r="A8739" i="1"/>
  <c r="A8738" i="1"/>
  <c r="A8737" i="1"/>
  <c r="A8736" i="1"/>
  <c r="A8735" i="1"/>
  <c r="A8734" i="1"/>
  <c r="A8733" i="1"/>
  <c r="A8732" i="1"/>
  <c r="A8731" i="1"/>
  <c r="A8730" i="1"/>
  <c r="A8729" i="1"/>
  <c r="A8728" i="1"/>
  <c r="A8727" i="1"/>
  <c r="A8726" i="1"/>
  <c r="A8725" i="1"/>
  <c r="A8724" i="1"/>
  <c r="A8723" i="1"/>
  <c r="A8722" i="1"/>
  <c r="A8721" i="1"/>
  <c r="A8720" i="1"/>
  <c r="A8719" i="1"/>
  <c r="A8718" i="1"/>
  <c r="A8717" i="1"/>
  <c r="A8716" i="1"/>
  <c r="A8715" i="1"/>
  <c r="A8714" i="1"/>
  <c r="A8713" i="1"/>
  <c r="A8712" i="1"/>
  <c r="A8711" i="1"/>
  <c r="A8710" i="1"/>
  <c r="A8709" i="1"/>
  <c r="A8708" i="1"/>
  <c r="A8707" i="1"/>
  <c r="A8706" i="1"/>
  <c r="A8705" i="1"/>
  <c r="A8704" i="1"/>
  <c r="A8703" i="1"/>
  <c r="A8702" i="1"/>
  <c r="A8701" i="1"/>
  <c r="A8700" i="1"/>
  <c r="A8699" i="1"/>
  <c r="A8698" i="1"/>
  <c r="A8697" i="1"/>
  <c r="A8696" i="1"/>
  <c r="A8695" i="1"/>
  <c r="A8694" i="1"/>
  <c r="A8693" i="1"/>
  <c r="A8692" i="1"/>
  <c r="A8691" i="1"/>
  <c r="A8690" i="1"/>
  <c r="A8689" i="1"/>
  <c r="A8688" i="1"/>
  <c r="A8687" i="1"/>
  <c r="A8686" i="1"/>
  <c r="A8685" i="1"/>
  <c r="A8684" i="1"/>
  <c r="A8683" i="1"/>
  <c r="A8682" i="1"/>
  <c r="A8681" i="1"/>
  <c r="A8680" i="1"/>
  <c r="A8679" i="1"/>
  <c r="A8678" i="1"/>
  <c r="A8677" i="1"/>
  <c r="A8676" i="1"/>
  <c r="A8675" i="1"/>
  <c r="A8674" i="1"/>
  <c r="A8673" i="1"/>
  <c r="A8672" i="1"/>
  <c r="A8671" i="1"/>
  <c r="A8670" i="1"/>
  <c r="A8669" i="1"/>
  <c r="A8668" i="1"/>
  <c r="A8667" i="1"/>
  <c r="A8666" i="1"/>
  <c r="A8665" i="1"/>
  <c r="A8664" i="1"/>
  <c r="A8663" i="1"/>
  <c r="A8662" i="1"/>
  <c r="A8661" i="1"/>
  <c r="A8660" i="1"/>
  <c r="A8659" i="1"/>
  <c r="A8658" i="1"/>
  <c r="A8657" i="1"/>
  <c r="A8656" i="1"/>
  <c r="A8655" i="1"/>
  <c r="A8654" i="1"/>
  <c r="A8653" i="1"/>
  <c r="A8652" i="1"/>
  <c r="A8651" i="1"/>
  <c r="A8650" i="1"/>
  <c r="A8649" i="1"/>
  <c r="A8648" i="1"/>
  <c r="A8647" i="1"/>
  <c r="A8646" i="1"/>
  <c r="A8645" i="1"/>
  <c r="A8644" i="1"/>
  <c r="A8643" i="1"/>
  <c r="A8642" i="1"/>
  <c r="A8641" i="1"/>
  <c r="A8640" i="1"/>
  <c r="A8639" i="1"/>
  <c r="A8638" i="1"/>
  <c r="A8637" i="1"/>
  <c r="A8636" i="1"/>
  <c r="A8635" i="1"/>
  <c r="A8634" i="1"/>
  <c r="A8633" i="1"/>
  <c r="A8632" i="1"/>
  <c r="A8631" i="1"/>
  <c r="A8630" i="1"/>
  <c r="A8629" i="1"/>
  <c r="A8628" i="1"/>
  <c r="A8627" i="1"/>
  <c r="A8626" i="1"/>
  <c r="A8625" i="1"/>
  <c r="A8624" i="1"/>
  <c r="A8623" i="1"/>
  <c r="A8622" i="1"/>
  <c r="A8621" i="1"/>
  <c r="A8620" i="1"/>
  <c r="A8619" i="1"/>
  <c r="A8618" i="1"/>
  <c r="A8617" i="1"/>
  <c r="A8616" i="1"/>
  <c r="A8615" i="1"/>
  <c r="A8614" i="1"/>
  <c r="A8613" i="1"/>
  <c r="A8612" i="1"/>
  <c r="A8611" i="1"/>
  <c r="A8610" i="1"/>
  <c r="A8609" i="1"/>
  <c r="A8608" i="1"/>
  <c r="A8607" i="1"/>
  <c r="A8606" i="1"/>
  <c r="A8605" i="1"/>
  <c r="A8604" i="1"/>
  <c r="A8603" i="1"/>
  <c r="A8602" i="1"/>
  <c r="A8601" i="1"/>
  <c r="A8600" i="1"/>
  <c r="A8599" i="1"/>
  <c r="A8598" i="1"/>
  <c r="A8597" i="1"/>
  <c r="A8596" i="1"/>
  <c r="A8595" i="1"/>
  <c r="A8594" i="1"/>
  <c r="A8593" i="1"/>
  <c r="A8592" i="1"/>
  <c r="A8591" i="1"/>
  <c r="A8590" i="1"/>
  <c r="A8589" i="1"/>
  <c r="A8588" i="1"/>
  <c r="A8587" i="1"/>
  <c r="A8586" i="1"/>
  <c r="A8585" i="1"/>
  <c r="A8584" i="1"/>
  <c r="A8583" i="1"/>
  <c r="A8582" i="1"/>
  <c r="A8581" i="1"/>
  <c r="A8580" i="1"/>
  <c r="A8579" i="1"/>
  <c r="A8578" i="1"/>
  <c r="A8577" i="1"/>
  <c r="A8576" i="1"/>
  <c r="A8575" i="1"/>
  <c r="A8574" i="1"/>
  <c r="A8573" i="1"/>
  <c r="A8572" i="1"/>
  <c r="A8571" i="1"/>
  <c r="A8570" i="1"/>
  <c r="A8569" i="1"/>
  <c r="A8568" i="1"/>
  <c r="A8567" i="1"/>
  <c r="A8566" i="1"/>
  <c r="A8565" i="1"/>
  <c r="A8564" i="1"/>
  <c r="A8563" i="1"/>
  <c r="A8562" i="1"/>
  <c r="A8561" i="1"/>
  <c r="A8560" i="1"/>
  <c r="A8559" i="1"/>
  <c r="A8558" i="1"/>
  <c r="A8557" i="1"/>
  <c r="A8556" i="1"/>
  <c r="A8555" i="1"/>
  <c r="A8554" i="1"/>
  <c r="A8553" i="1"/>
  <c r="A8552" i="1"/>
  <c r="A8551" i="1"/>
  <c r="A8550" i="1"/>
  <c r="A8549" i="1"/>
  <c r="A8548" i="1"/>
  <c r="A8547" i="1"/>
  <c r="A8546" i="1"/>
  <c r="A8545" i="1"/>
  <c r="A8544" i="1"/>
  <c r="A8543" i="1"/>
  <c r="A8542" i="1"/>
  <c r="A8541" i="1"/>
  <c r="A8540" i="1"/>
  <c r="A8539" i="1"/>
  <c r="A8538" i="1"/>
  <c r="A8537" i="1"/>
  <c r="A8536" i="1"/>
  <c r="A8535" i="1"/>
  <c r="A8534" i="1"/>
  <c r="A8533" i="1"/>
  <c r="A8532" i="1"/>
  <c r="A8531" i="1"/>
  <c r="A8530" i="1"/>
  <c r="A8529" i="1"/>
  <c r="A8528" i="1"/>
  <c r="A8527" i="1"/>
  <c r="A8526" i="1"/>
  <c r="A8525" i="1"/>
  <c r="A8524" i="1"/>
  <c r="A8523" i="1"/>
  <c r="A8522" i="1"/>
  <c r="A8521" i="1"/>
  <c r="A8520" i="1"/>
  <c r="A8519" i="1"/>
  <c r="A8518" i="1"/>
  <c r="A8517" i="1"/>
  <c r="A8516" i="1"/>
  <c r="A8515" i="1"/>
  <c r="A8514" i="1"/>
  <c r="A8513" i="1"/>
  <c r="A8512" i="1"/>
  <c r="A8511" i="1"/>
  <c r="A8510" i="1"/>
  <c r="A8509" i="1"/>
  <c r="A8508" i="1"/>
  <c r="A8507" i="1"/>
  <c r="A8506" i="1"/>
  <c r="A8505" i="1"/>
  <c r="A8504" i="1"/>
  <c r="A8503" i="1"/>
  <c r="A8502" i="1"/>
  <c r="A8501" i="1"/>
  <c r="A8500" i="1"/>
  <c r="A8499" i="1"/>
  <c r="A8498" i="1"/>
  <c r="A8497" i="1"/>
  <c r="A8496" i="1"/>
  <c r="A8495" i="1"/>
  <c r="A8494" i="1"/>
  <c r="A8493" i="1"/>
  <c r="A8492" i="1"/>
  <c r="A8491" i="1"/>
  <c r="A8490" i="1"/>
  <c r="A8489" i="1"/>
  <c r="A8488" i="1"/>
  <c r="A8487" i="1"/>
  <c r="A8486" i="1"/>
  <c r="A8485" i="1"/>
  <c r="A8484" i="1"/>
  <c r="A8483" i="1"/>
  <c r="A8482" i="1"/>
  <c r="A8481" i="1"/>
  <c r="A8480" i="1"/>
  <c r="A8479" i="1"/>
  <c r="A8478" i="1"/>
  <c r="A8477" i="1"/>
  <c r="A8476" i="1"/>
  <c r="A8475" i="1"/>
  <c r="A8474" i="1"/>
  <c r="A8473" i="1"/>
  <c r="A8472" i="1"/>
  <c r="A8471" i="1"/>
  <c r="A8470" i="1"/>
  <c r="A8469" i="1"/>
  <c r="A8468" i="1"/>
  <c r="A8467" i="1"/>
  <c r="A8466" i="1"/>
  <c r="A8465" i="1"/>
  <c r="A8464" i="1"/>
  <c r="A8463" i="1"/>
  <c r="A8462" i="1"/>
  <c r="A8461" i="1"/>
  <c r="A8460" i="1"/>
  <c r="A8459" i="1"/>
  <c r="A8458" i="1"/>
  <c r="A8457" i="1"/>
  <c r="A8456" i="1"/>
  <c r="A8455" i="1"/>
  <c r="A8454" i="1"/>
  <c r="A8453" i="1"/>
  <c r="A8452" i="1"/>
  <c r="A8451" i="1"/>
  <c r="A8450" i="1"/>
  <c r="A8449" i="1"/>
  <c r="A8448" i="1"/>
  <c r="A8447" i="1"/>
  <c r="A8446" i="1"/>
  <c r="A8445" i="1"/>
  <c r="A8444" i="1"/>
  <c r="A8443" i="1"/>
  <c r="A8442" i="1"/>
  <c r="A8441" i="1"/>
  <c r="A8440" i="1"/>
  <c r="A8439" i="1"/>
  <c r="A8438" i="1"/>
  <c r="A8437" i="1"/>
  <c r="A8436" i="1"/>
  <c r="A8435" i="1"/>
  <c r="A8434" i="1"/>
  <c r="A8433" i="1"/>
  <c r="A8432" i="1"/>
  <c r="A8431" i="1"/>
  <c r="A8430" i="1"/>
  <c r="A8429" i="1"/>
  <c r="A8428" i="1"/>
  <c r="A8427" i="1"/>
  <c r="A8426" i="1"/>
  <c r="A8425" i="1"/>
  <c r="A8424" i="1"/>
  <c r="A8423" i="1"/>
  <c r="A8422" i="1"/>
  <c r="A8421" i="1"/>
  <c r="A8420" i="1"/>
  <c r="A8419" i="1"/>
  <c r="A8418" i="1"/>
  <c r="A8417" i="1"/>
  <c r="A8416" i="1"/>
  <c r="A8415" i="1"/>
  <c r="A8414" i="1"/>
  <c r="A8413" i="1"/>
  <c r="A8412" i="1"/>
  <c r="A8411" i="1"/>
  <c r="A8410" i="1"/>
  <c r="A8409" i="1"/>
  <c r="A8408" i="1"/>
  <c r="A8407" i="1"/>
  <c r="A8406" i="1"/>
  <c r="A8405" i="1"/>
  <c r="A8404" i="1"/>
  <c r="A8403" i="1"/>
  <c r="A8402" i="1"/>
  <c r="A8401" i="1"/>
  <c r="A8400" i="1"/>
  <c r="A8399" i="1"/>
  <c r="A8398" i="1"/>
  <c r="A8397" i="1"/>
  <c r="A8396" i="1"/>
  <c r="A8395" i="1"/>
  <c r="A8394" i="1"/>
  <c r="A8393" i="1"/>
  <c r="A8392" i="1"/>
  <c r="A8391" i="1"/>
  <c r="A8390" i="1"/>
  <c r="A8389" i="1"/>
  <c r="A8388" i="1"/>
  <c r="A8387" i="1"/>
  <c r="A8386" i="1"/>
  <c r="A8385" i="1"/>
  <c r="A8384" i="1"/>
  <c r="A8383" i="1"/>
  <c r="A8382" i="1"/>
  <c r="A8381" i="1"/>
  <c r="A8380" i="1"/>
  <c r="A8379" i="1"/>
  <c r="A8378" i="1"/>
  <c r="A8377" i="1"/>
  <c r="A8376" i="1"/>
  <c r="A8375" i="1"/>
  <c r="A8374" i="1"/>
  <c r="A8373" i="1"/>
  <c r="A8372" i="1"/>
  <c r="A8371" i="1"/>
  <c r="A8370" i="1"/>
  <c r="A8369" i="1"/>
  <c r="A8368" i="1"/>
  <c r="A8367" i="1"/>
  <c r="A8366" i="1"/>
  <c r="A8365" i="1"/>
  <c r="A8364" i="1"/>
  <c r="A8363" i="1"/>
  <c r="A8362" i="1"/>
  <c r="A8361" i="1"/>
  <c r="A8360" i="1"/>
  <c r="A8359" i="1"/>
  <c r="A8358" i="1"/>
  <c r="A8357" i="1"/>
  <c r="A8356" i="1"/>
  <c r="A8355" i="1"/>
  <c r="A8354" i="1"/>
  <c r="A8353" i="1"/>
  <c r="A8352" i="1"/>
  <c r="A8351" i="1"/>
  <c r="A8350" i="1"/>
  <c r="A8349" i="1"/>
  <c r="A8348" i="1"/>
  <c r="A8347" i="1"/>
  <c r="A8346" i="1"/>
  <c r="A8345" i="1"/>
  <c r="A8344" i="1"/>
  <c r="A8343" i="1"/>
  <c r="A8342" i="1"/>
  <c r="A8341" i="1"/>
  <c r="A8340" i="1"/>
  <c r="A8339" i="1"/>
  <c r="A8338" i="1"/>
  <c r="A8337" i="1"/>
  <c r="A8336" i="1"/>
  <c r="A8335" i="1"/>
  <c r="A8334" i="1"/>
  <c r="A8333" i="1"/>
  <c r="A8332" i="1"/>
  <c r="A8331" i="1"/>
  <c r="A8330" i="1"/>
  <c r="A8329" i="1"/>
  <c r="A8328" i="1"/>
  <c r="A8327" i="1"/>
  <c r="A8326" i="1"/>
  <c r="A8325" i="1"/>
  <c r="A8324" i="1"/>
  <c r="A8323" i="1"/>
  <c r="A8322" i="1"/>
  <c r="A8321" i="1"/>
  <c r="A8320" i="1"/>
  <c r="A8319" i="1"/>
  <c r="A8318" i="1"/>
  <c r="A8317" i="1"/>
  <c r="A8316" i="1"/>
  <c r="A8315" i="1"/>
  <c r="A8314" i="1"/>
  <c r="A8313" i="1"/>
  <c r="A8312" i="1"/>
  <c r="A8311" i="1"/>
  <c r="A8310" i="1"/>
  <c r="A8309" i="1"/>
  <c r="A8308" i="1"/>
  <c r="A8307" i="1"/>
  <c r="A8306" i="1"/>
  <c r="A8305" i="1"/>
  <c r="A8304" i="1"/>
  <c r="A8303" i="1"/>
  <c r="A8302" i="1"/>
  <c r="A8301" i="1"/>
  <c r="A8300" i="1"/>
  <c r="A8299" i="1"/>
  <c r="A8298" i="1"/>
  <c r="A8297" i="1"/>
  <c r="A8296" i="1"/>
  <c r="A8295" i="1"/>
  <c r="A8294" i="1"/>
  <c r="A8293" i="1"/>
  <c r="A8292" i="1"/>
  <c r="A8291" i="1"/>
  <c r="A8290" i="1"/>
  <c r="A8289" i="1"/>
  <c r="A8288" i="1"/>
  <c r="A8287" i="1"/>
  <c r="A8286" i="1"/>
  <c r="A8285" i="1"/>
  <c r="A8284" i="1"/>
  <c r="A8283" i="1"/>
  <c r="A8282" i="1"/>
  <c r="A8281" i="1"/>
  <c r="A8280" i="1"/>
  <c r="A8279" i="1"/>
  <c r="A8278" i="1"/>
  <c r="A8277" i="1"/>
  <c r="A8276" i="1"/>
  <c r="A8275" i="1"/>
  <c r="A8274" i="1"/>
  <c r="A8273" i="1"/>
  <c r="A8272" i="1"/>
  <c r="A8271" i="1"/>
  <c r="A8270" i="1"/>
  <c r="A8269" i="1"/>
  <c r="A8268" i="1"/>
  <c r="A8267" i="1"/>
  <c r="A8266" i="1"/>
  <c r="A8265" i="1"/>
  <c r="A8264" i="1"/>
  <c r="A8263" i="1"/>
  <c r="A8262" i="1"/>
  <c r="A8261" i="1"/>
  <c r="A8260" i="1"/>
  <c r="A8259" i="1"/>
  <c r="A8258" i="1"/>
  <c r="A8257" i="1"/>
  <c r="A8256" i="1"/>
  <c r="A8255" i="1"/>
  <c r="A8254" i="1"/>
  <c r="A8253" i="1"/>
  <c r="A8252" i="1"/>
  <c r="A8251" i="1"/>
  <c r="A8250" i="1"/>
  <c r="A8249" i="1"/>
  <c r="A8248" i="1"/>
  <c r="A8247" i="1"/>
  <c r="A8246" i="1"/>
  <c r="A8245" i="1"/>
  <c r="A8244" i="1"/>
  <c r="A8243" i="1"/>
  <c r="A8242" i="1"/>
  <c r="A8241" i="1"/>
  <c r="A8240" i="1"/>
  <c r="A8239" i="1"/>
  <c r="A8238" i="1"/>
  <c r="A8237" i="1"/>
  <c r="A8236" i="1"/>
  <c r="A8235" i="1"/>
  <c r="A8234" i="1"/>
  <c r="A8233" i="1"/>
  <c r="A8232" i="1"/>
  <c r="A8231" i="1"/>
  <c r="A8230" i="1"/>
  <c r="A8229" i="1"/>
  <c r="A8228" i="1"/>
  <c r="A8227" i="1"/>
  <c r="A8226" i="1"/>
  <c r="A8225" i="1"/>
  <c r="A8224" i="1"/>
  <c r="A8223" i="1"/>
  <c r="A8222" i="1"/>
  <c r="A8221" i="1"/>
  <c r="A8220" i="1"/>
  <c r="A8219" i="1"/>
  <c r="A8218" i="1"/>
  <c r="A8217" i="1"/>
  <c r="A8216" i="1"/>
  <c r="A8215" i="1"/>
  <c r="A8214" i="1"/>
  <c r="A8213" i="1"/>
  <c r="A8212" i="1"/>
  <c r="A8211" i="1"/>
  <c r="A8210" i="1"/>
  <c r="A8209" i="1"/>
  <c r="A8208" i="1"/>
  <c r="A8207" i="1"/>
  <c r="A8206" i="1"/>
  <c r="A8205" i="1"/>
  <c r="A8204" i="1"/>
  <c r="A8203" i="1"/>
  <c r="A8202" i="1"/>
  <c r="A8201" i="1"/>
  <c r="A8200" i="1"/>
  <c r="A8199" i="1"/>
  <c r="A8198" i="1"/>
  <c r="A8197" i="1"/>
  <c r="A8196" i="1"/>
  <c r="A8195" i="1"/>
  <c r="A8194" i="1"/>
  <c r="A8193" i="1"/>
  <c r="A8192" i="1"/>
  <c r="A8191" i="1"/>
  <c r="A8190" i="1"/>
  <c r="A8189" i="1"/>
  <c r="A8188" i="1"/>
  <c r="A8187" i="1"/>
  <c r="A8186" i="1"/>
  <c r="A8185" i="1"/>
  <c r="A8184" i="1"/>
  <c r="A8183" i="1"/>
  <c r="A8182" i="1"/>
  <c r="A8181" i="1"/>
  <c r="A8180" i="1"/>
  <c r="A8179" i="1"/>
  <c r="A8178" i="1"/>
  <c r="A8177" i="1"/>
  <c r="A8176" i="1"/>
  <c r="A8175" i="1"/>
  <c r="A8174" i="1"/>
  <c r="A8173" i="1"/>
  <c r="A8172" i="1"/>
  <c r="A8171" i="1"/>
  <c r="A8170" i="1"/>
  <c r="A8169" i="1"/>
  <c r="A8168" i="1"/>
  <c r="A8167" i="1"/>
  <c r="A8166" i="1"/>
  <c r="A8165" i="1"/>
  <c r="A8164" i="1"/>
  <c r="A8163" i="1"/>
  <c r="A8162" i="1"/>
  <c r="A8161" i="1"/>
  <c r="A8160" i="1"/>
  <c r="A8159" i="1"/>
  <c r="A8158" i="1"/>
  <c r="A8157" i="1"/>
  <c r="A8156" i="1"/>
  <c r="A8155" i="1"/>
  <c r="A8154" i="1"/>
  <c r="A8153" i="1"/>
  <c r="A8152" i="1"/>
  <c r="A8151" i="1"/>
  <c r="A8150" i="1"/>
  <c r="A8149" i="1"/>
  <c r="A8148" i="1"/>
  <c r="A8147" i="1"/>
  <c r="A8146" i="1"/>
  <c r="A8145" i="1"/>
  <c r="A8144" i="1"/>
  <c r="A8143" i="1"/>
  <c r="A8142" i="1"/>
  <c r="A8141" i="1"/>
  <c r="A8140" i="1"/>
  <c r="A8139" i="1"/>
  <c r="A8138" i="1"/>
  <c r="A8137" i="1"/>
  <c r="A8136" i="1"/>
  <c r="A8135" i="1"/>
  <c r="A8134" i="1"/>
  <c r="A8133" i="1"/>
  <c r="A8132" i="1"/>
  <c r="A8131" i="1"/>
  <c r="A8130" i="1"/>
  <c r="A8129" i="1"/>
  <c r="A8128" i="1"/>
  <c r="A8127" i="1"/>
  <c r="A8126" i="1"/>
  <c r="A8125" i="1"/>
  <c r="A8124" i="1"/>
  <c r="A8123" i="1"/>
  <c r="A8122" i="1"/>
  <c r="A8121" i="1"/>
  <c r="A8120" i="1"/>
  <c r="A8119" i="1"/>
  <c r="A8118" i="1"/>
  <c r="A8117" i="1"/>
  <c r="A8116" i="1"/>
  <c r="A8115" i="1"/>
  <c r="A8114" i="1"/>
  <c r="A8113" i="1"/>
  <c r="A8112" i="1"/>
  <c r="A8111" i="1"/>
  <c r="A8110" i="1"/>
  <c r="A8109" i="1"/>
  <c r="A8108" i="1"/>
  <c r="A8107" i="1"/>
  <c r="A8106" i="1"/>
  <c r="A8105" i="1"/>
  <c r="A8104" i="1"/>
  <c r="A8103" i="1"/>
  <c r="A8102" i="1"/>
  <c r="A8101" i="1"/>
  <c r="A8100" i="1"/>
  <c r="A8099" i="1"/>
  <c r="A8098" i="1"/>
  <c r="A8097" i="1"/>
  <c r="A8096" i="1"/>
  <c r="A8095" i="1"/>
  <c r="A8094" i="1"/>
  <c r="A8093" i="1"/>
  <c r="A8092" i="1"/>
  <c r="A8091" i="1"/>
  <c r="A8090" i="1"/>
  <c r="A8089" i="1"/>
  <c r="A8088" i="1"/>
  <c r="A8087" i="1"/>
  <c r="A8086" i="1"/>
  <c r="A8085" i="1"/>
  <c r="A8084" i="1"/>
  <c r="A8083" i="1"/>
  <c r="A8082" i="1"/>
  <c r="A8081" i="1"/>
  <c r="A8080" i="1"/>
  <c r="A8079" i="1"/>
  <c r="A8078" i="1"/>
  <c r="A8077" i="1"/>
  <c r="A8076" i="1"/>
  <c r="A8075" i="1"/>
  <c r="A8074" i="1"/>
  <c r="A8073" i="1"/>
  <c r="A8072" i="1"/>
  <c r="A8071" i="1"/>
  <c r="A8070" i="1"/>
  <c r="A8069" i="1"/>
  <c r="A8068" i="1"/>
  <c r="A8067" i="1"/>
  <c r="A8066" i="1"/>
  <c r="A8065" i="1"/>
  <c r="A8064" i="1"/>
  <c r="A8063" i="1"/>
  <c r="A8062" i="1"/>
  <c r="A8061" i="1"/>
  <c r="A8060" i="1"/>
  <c r="A8059" i="1"/>
  <c r="A8058" i="1"/>
  <c r="A8057" i="1"/>
  <c r="A8056" i="1"/>
  <c r="A8055" i="1"/>
  <c r="A8054" i="1"/>
  <c r="A8053" i="1"/>
  <c r="A8052" i="1"/>
  <c r="A8051" i="1"/>
  <c r="A8050" i="1"/>
  <c r="A8049" i="1"/>
  <c r="A8048" i="1"/>
  <c r="A8047" i="1"/>
  <c r="A8046" i="1"/>
  <c r="A8045" i="1"/>
  <c r="A8044" i="1"/>
  <c r="A8043" i="1"/>
  <c r="A8042" i="1"/>
  <c r="A8041" i="1"/>
  <c r="A8040" i="1"/>
  <c r="A8039" i="1"/>
  <c r="A8038" i="1"/>
  <c r="A8037" i="1"/>
  <c r="A8036" i="1"/>
  <c r="A8035" i="1"/>
  <c r="A8034" i="1"/>
  <c r="A8033" i="1"/>
  <c r="A8032" i="1"/>
  <c r="A8031" i="1"/>
  <c r="A8030" i="1"/>
  <c r="A8029" i="1"/>
  <c r="A8028" i="1"/>
  <c r="A8027" i="1"/>
  <c r="A8026" i="1"/>
  <c r="A8025" i="1"/>
  <c r="A8024" i="1"/>
  <c r="A8023" i="1"/>
  <c r="A8022" i="1"/>
  <c r="A8021" i="1"/>
  <c r="A8020" i="1"/>
  <c r="A8019" i="1"/>
  <c r="A8018" i="1"/>
  <c r="A8017" i="1"/>
  <c r="A8016" i="1"/>
  <c r="A8015" i="1"/>
  <c r="A8014" i="1"/>
  <c r="A8013" i="1"/>
  <c r="A8012" i="1"/>
  <c r="A8011" i="1"/>
  <c r="A8010" i="1"/>
  <c r="A8009" i="1"/>
  <c r="A8008" i="1"/>
  <c r="A8007" i="1"/>
  <c r="A8006" i="1"/>
  <c r="A8005" i="1"/>
  <c r="A8004" i="1"/>
  <c r="A8003" i="1"/>
  <c r="A8002" i="1"/>
  <c r="A8001" i="1"/>
  <c r="A8000" i="1"/>
  <c r="A7999" i="1"/>
  <c r="A7998" i="1"/>
  <c r="A7997" i="1"/>
  <c r="A7996" i="1"/>
  <c r="A7995" i="1"/>
  <c r="A7994" i="1"/>
  <c r="A7993" i="1"/>
  <c r="A7992" i="1"/>
  <c r="A7991" i="1"/>
  <c r="A7990" i="1"/>
  <c r="A7989" i="1"/>
  <c r="A7988" i="1"/>
  <c r="A7987" i="1"/>
  <c r="A7986" i="1"/>
  <c r="A7985" i="1"/>
  <c r="A7984" i="1"/>
  <c r="A7983" i="1"/>
  <c r="A7982" i="1"/>
  <c r="A7981" i="1"/>
  <c r="A7980" i="1"/>
  <c r="A7979" i="1"/>
  <c r="A7978" i="1"/>
  <c r="A7977" i="1"/>
  <c r="A7976" i="1"/>
  <c r="A7975" i="1"/>
  <c r="A7974" i="1"/>
  <c r="A7973" i="1"/>
  <c r="A7972" i="1"/>
  <c r="A7971" i="1"/>
  <c r="A7970" i="1"/>
  <c r="A7969" i="1"/>
  <c r="A7968" i="1"/>
  <c r="A7967" i="1"/>
  <c r="A7966" i="1"/>
  <c r="A7965" i="1"/>
  <c r="A7964" i="1"/>
  <c r="A7963" i="1"/>
  <c r="A7962" i="1"/>
  <c r="A7961" i="1"/>
  <c r="A7960" i="1"/>
  <c r="A7959" i="1"/>
  <c r="A7958" i="1"/>
  <c r="A7957" i="1"/>
  <c r="A7956" i="1"/>
  <c r="A7955" i="1"/>
  <c r="A7954" i="1"/>
  <c r="A7953" i="1"/>
  <c r="A7952" i="1"/>
  <c r="A7951" i="1"/>
  <c r="A7950" i="1"/>
  <c r="A7949" i="1"/>
  <c r="A7948" i="1"/>
  <c r="A7947" i="1"/>
  <c r="A7946" i="1"/>
  <c r="A7945" i="1"/>
  <c r="A7944" i="1"/>
  <c r="A7943" i="1"/>
  <c r="A7942" i="1"/>
  <c r="A7941" i="1"/>
  <c r="A7940" i="1"/>
  <c r="A7939" i="1"/>
  <c r="A7938" i="1"/>
  <c r="A7937" i="1"/>
  <c r="A7936" i="1"/>
  <c r="A7935" i="1"/>
  <c r="A7934" i="1"/>
  <c r="A7933" i="1"/>
  <c r="A7932" i="1"/>
  <c r="A7931" i="1"/>
  <c r="A7930" i="1"/>
  <c r="A7929" i="1"/>
  <c r="A7928" i="1"/>
  <c r="A7927" i="1"/>
  <c r="A7926" i="1"/>
  <c r="A7925" i="1"/>
  <c r="A7924" i="1"/>
  <c r="A7923" i="1"/>
  <c r="A7922" i="1"/>
  <c r="A7921" i="1"/>
  <c r="A7920" i="1"/>
  <c r="A7919" i="1"/>
  <c r="A7918" i="1"/>
  <c r="A7917" i="1"/>
  <c r="A7916" i="1"/>
  <c r="A7915" i="1"/>
  <c r="A7914" i="1"/>
  <c r="A7913" i="1"/>
  <c r="A7912" i="1"/>
  <c r="A7911" i="1"/>
  <c r="A7910" i="1"/>
  <c r="A7909" i="1"/>
  <c r="A7908" i="1"/>
  <c r="A7907" i="1"/>
  <c r="A7906" i="1"/>
  <c r="A7905" i="1"/>
  <c r="A7904" i="1"/>
  <c r="A7903" i="1"/>
  <c r="A7902" i="1"/>
  <c r="A7901" i="1"/>
  <c r="A7900" i="1"/>
  <c r="A7899" i="1"/>
  <c r="A7898" i="1"/>
  <c r="A7897" i="1"/>
  <c r="A7896" i="1"/>
  <c r="A7895" i="1"/>
  <c r="A7894" i="1"/>
  <c r="A7893" i="1"/>
  <c r="A7892" i="1"/>
  <c r="A7891" i="1"/>
  <c r="A7890" i="1"/>
  <c r="A7889" i="1"/>
  <c r="A7888" i="1"/>
  <c r="A7887" i="1"/>
  <c r="A7886" i="1"/>
  <c r="A7885" i="1"/>
  <c r="A7884" i="1"/>
  <c r="A7883" i="1"/>
  <c r="A7882" i="1"/>
  <c r="A7881" i="1"/>
  <c r="A7880" i="1"/>
  <c r="A7879" i="1"/>
  <c r="A7878" i="1"/>
  <c r="A7877" i="1"/>
  <c r="A7876" i="1"/>
  <c r="A7875" i="1"/>
  <c r="A7874" i="1"/>
  <c r="A7873" i="1"/>
  <c r="A7872" i="1"/>
  <c r="A7871" i="1"/>
  <c r="A7870" i="1"/>
  <c r="A7869" i="1"/>
  <c r="A7868" i="1"/>
  <c r="A7867" i="1"/>
  <c r="A7866" i="1"/>
  <c r="A7865" i="1"/>
  <c r="A7864" i="1"/>
  <c r="A7863" i="1"/>
  <c r="A7862" i="1"/>
  <c r="A7861" i="1"/>
  <c r="A7860" i="1"/>
  <c r="A7859" i="1"/>
  <c r="A7858" i="1"/>
  <c r="A7857" i="1"/>
  <c r="A7856" i="1"/>
  <c r="A7855" i="1"/>
  <c r="A7854" i="1"/>
  <c r="A7853" i="1"/>
  <c r="A7852" i="1"/>
  <c r="A7851" i="1"/>
  <c r="A7850" i="1"/>
  <c r="A7849" i="1"/>
  <c r="A7848" i="1"/>
  <c r="A7847" i="1"/>
  <c r="A7846" i="1"/>
  <c r="A7845" i="1"/>
  <c r="A7844" i="1"/>
  <c r="A7843" i="1"/>
  <c r="A7842" i="1"/>
  <c r="A7841" i="1"/>
  <c r="A7840" i="1"/>
  <c r="A7839" i="1"/>
  <c r="A7838" i="1"/>
  <c r="A7837" i="1"/>
  <c r="A7836" i="1"/>
  <c r="A7835" i="1"/>
  <c r="A7834" i="1"/>
  <c r="A7833" i="1"/>
  <c r="A7832" i="1"/>
  <c r="A7831" i="1"/>
  <c r="A7830" i="1"/>
  <c r="A7829" i="1"/>
  <c r="A7828" i="1"/>
  <c r="A7827" i="1"/>
  <c r="A7826" i="1"/>
  <c r="A7825" i="1"/>
  <c r="A7824" i="1"/>
  <c r="A7823" i="1"/>
  <c r="A7822" i="1"/>
  <c r="A7821" i="1"/>
  <c r="A7820" i="1"/>
  <c r="A7819" i="1"/>
  <c r="A7818" i="1"/>
  <c r="A7817" i="1"/>
  <c r="A7816" i="1"/>
  <c r="A7815" i="1"/>
  <c r="A7814" i="1"/>
  <c r="A7813" i="1"/>
  <c r="A7812" i="1"/>
  <c r="A7811" i="1"/>
  <c r="A7810" i="1"/>
  <c r="A7809" i="1"/>
  <c r="A7808" i="1"/>
  <c r="A7807" i="1"/>
  <c r="A7806" i="1"/>
  <c r="A7805" i="1"/>
  <c r="A7804" i="1"/>
  <c r="A7803" i="1"/>
  <c r="A7802" i="1"/>
  <c r="A7801" i="1"/>
  <c r="A7800" i="1"/>
  <c r="A7799" i="1"/>
  <c r="A7798" i="1"/>
  <c r="A7797" i="1"/>
  <c r="A7796" i="1"/>
  <c r="A7795" i="1"/>
  <c r="A7794" i="1"/>
  <c r="A7793" i="1"/>
  <c r="A7792" i="1"/>
  <c r="A7791" i="1"/>
  <c r="A7790" i="1"/>
  <c r="A7789" i="1"/>
  <c r="A7788" i="1"/>
  <c r="A7787" i="1"/>
  <c r="A7786" i="1"/>
  <c r="A7785" i="1"/>
  <c r="A7784" i="1"/>
  <c r="A7783" i="1"/>
  <c r="A7782" i="1"/>
  <c r="A7781" i="1"/>
  <c r="A7780" i="1"/>
  <c r="A7779" i="1"/>
  <c r="A7778" i="1"/>
  <c r="A7777" i="1"/>
  <c r="A7776" i="1"/>
  <c r="A7775" i="1"/>
  <c r="A7774" i="1"/>
  <c r="A7773" i="1"/>
  <c r="A7772" i="1"/>
  <c r="A7771" i="1"/>
  <c r="A7770" i="1"/>
  <c r="A7769" i="1"/>
  <c r="A7768" i="1"/>
  <c r="A7767" i="1"/>
  <c r="A7766" i="1"/>
  <c r="A7765" i="1"/>
  <c r="A7764" i="1"/>
  <c r="A7763" i="1"/>
  <c r="A7762" i="1"/>
  <c r="A7761" i="1"/>
  <c r="A7760" i="1"/>
  <c r="A7759" i="1"/>
  <c r="A7758" i="1"/>
  <c r="A7757" i="1"/>
  <c r="A7756" i="1"/>
  <c r="A7755" i="1"/>
  <c r="A7754" i="1"/>
  <c r="A7753" i="1"/>
  <c r="A7752" i="1"/>
  <c r="A7751" i="1"/>
  <c r="A7750" i="1"/>
  <c r="A7749" i="1"/>
  <c r="A7748" i="1"/>
  <c r="A7747" i="1"/>
  <c r="A7746" i="1"/>
  <c r="A7745" i="1"/>
  <c r="A7744" i="1"/>
  <c r="A7743" i="1"/>
  <c r="A7742" i="1"/>
  <c r="A7741" i="1"/>
  <c r="A7740" i="1"/>
  <c r="A7739" i="1"/>
  <c r="A7738" i="1"/>
  <c r="A7737" i="1"/>
  <c r="A7736" i="1"/>
  <c r="A7735" i="1"/>
  <c r="A7734" i="1"/>
  <c r="A7733" i="1"/>
  <c r="A7732" i="1"/>
  <c r="A7731" i="1"/>
  <c r="A7730" i="1"/>
  <c r="A7729" i="1"/>
  <c r="A7728" i="1"/>
  <c r="A7727" i="1"/>
  <c r="A7726" i="1"/>
  <c r="A7725" i="1"/>
  <c r="A7724" i="1"/>
  <c r="A7723" i="1"/>
  <c r="A7722" i="1"/>
  <c r="A7721" i="1"/>
  <c r="A7720" i="1"/>
  <c r="A7719" i="1"/>
  <c r="A7718" i="1"/>
  <c r="A7717" i="1"/>
  <c r="A7716" i="1"/>
  <c r="A7715" i="1"/>
  <c r="A7714" i="1"/>
  <c r="A7713" i="1"/>
  <c r="A7712" i="1"/>
  <c r="A7711" i="1"/>
  <c r="A7710" i="1"/>
  <c r="A7709" i="1"/>
  <c r="A7708" i="1"/>
  <c r="A7707" i="1"/>
  <c r="A7706" i="1"/>
  <c r="A7705" i="1"/>
  <c r="A7704" i="1"/>
  <c r="A7703" i="1"/>
  <c r="A7702" i="1"/>
  <c r="A7701" i="1"/>
  <c r="A7700" i="1"/>
  <c r="A7699" i="1"/>
  <c r="A7698" i="1"/>
  <c r="A7697" i="1"/>
  <c r="A7696" i="1"/>
  <c r="A7695" i="1"/>
  <c r="A7694" i="1"/>
  <c r="A7693" i="1"/>
  <c r="A7692" i="1"/>
  <c r="A7691" i="1"/>
  <c r="A7690" i="1"/>
  <c r="A7689" i="1"/>
  <c r="A7688" i="1"/>
  <c r="A7687" i="1"/>
  <c r="A7686" i="1"/>
  <c r="A7685" i="1"/>
  <c r="A7684" i="1"/>
  <c r="A7683" i="1"/>
  <c r="A7682" i="1"/>
  <c r="A7681" i="1"/>
  <c r="A7680" i="1"/>
  <c r="A7679" i="1"/>
  <c r="A7678" i="1"/>
  <c r="A7677" i="1"/>
  <c r="A7676" i="1"/>
  <c r="A7675" i="1"/>
  <c r="A7674" i="1"/>
  <c r="A7673" i="1"/>
  <c r="A7672" i="1"/>
  <c r="A7671" i="1"/>
  <c r="A7670" i="1"/>
  <c r="A7669" i="1"/>
  <c r="A7668" i="1"/>
  <c r="A7667" i="1"/>
  <c r="A7666" i="1"/>
  <c r="A7665" i="1"/>
  <c r="A7664" i="1"/>
  <c r="A7663" i="1"/>
  <c r="A7662" i="1"/>
  <c r="A7661" i="1"/>
  <c r="A7660" i="1"/>
  <c r="A7659" i="1"/>
  <c r="A7658" i="1"/>
  <c r="A7657" i="1"/>
  <c r="A7656" i="1"/>
  <c r="A7655" i="1"/>
  <c r="A7654" i="1"/>
  <c r="A7653" i="1"/>
  <c r="A7652" i="1"/>
  <c r="A7651" i="1"/>
  <c r="A7650" i="1"/>
  <c r="A7649" i="1"/>
  <c r="A7648" i="1"/>
  <c r="A7647" i="1"/>
  <c r="A7646" i="1"/>
  <c r="A7645" i="1"/>
  <c r="A7644" i="1"/>
  <c r="A7643" i="1"/>
  <c r="A7642" i="1"/>
  <c r="A7641" i="1"/>
  <c r="A7640" i="1"/>
  <c r="A7639" i="1"/>
  <c r="A7638" i="1"/>
  <c r="A7637" i="1"/>
  <c r="A7636" i="1"/>
  <c r="A7635" i="1"/>
  <c r="A7634" i="1"/>
  <c r="A7633" i="1"/>
  <c r="A7632" i="1"/>
  <c r="A7631" i="1"/>
  <c r="A7630" i="1"/>
  <c r="A7629" i="1"/>
  <c r="A7628" i="1"/>
  <c r="A7627" i="1"/>
  <c r="A7626" i="1"/>
  <c r="A7625" i="1"/>
  <c r="A7624" i="1"/>
  <c r="A7623" i="1"/>
  <c r="A7622" i="1"/>
  <c r="A7621" i="1"/>
  <c r="A7620" i="1"/>
  <c r="A7619" i="1"/>
  <c r="A7618" i="1"/>
  <c r="A7617" i="1"/>
  <c r="A7616" i="1"/>
  <c r="A7615" i="1"/>
  <c r="A7614" i="1"/>
  <c r="A7613" i="1"/>
  <c r="A7612" i="1"/>
  <c r="A7611" i="1"/>
  <c r="A7610" i="1"/>
  <c r="A7609" i="1"/>
  <c r="A7608" i="1"/>
  <c r="A7607" i="1"/>
  <c r="A7606" i="1"/>
  <c r="A7605" i="1"/>
  <c r="A7604" i="1"/>
  <c r="A7603" i="1"/>
  <c r="A7602" i="1"/>
  <c r="A7601" i="1"/>
  <c r="A7600" i="1"/>
  <c r="A7599" i="1"/>
  <c r="A7598" i="1"/>
  <c r="A7597" i="1"/>
  <c r="A7596" i="1"/>
  <c r="A7595" i="1"/>
  <c r="A7594" i="1"/>
  <c r="A7593" i="1"/>
  <c r="A7592" i="1"/>
  <c r="A7591" i="1"/>
  <c r="A7590" i="1"/>
  <c r="A7589" i="1"/>
  <c r="A7588" i="1"/>
  <c r="A7587" i="1"/>
  <c r="A7586" i="1"/>
  <c r="A7585" i="1"/>
  <c r="A7584" i="1"/>
  <c r="A7583" i="1"/>
  <c r="A7582" i="1"/>
  <c r="A7581" i="1"/>
  <c r="A7580" i="1"/>
  <c r="A7579" i="1"/>
  <c r="A7578" i="1"/>
  <c r="A7577" i="1"/>
  <c r="A7576" i="1"/>
  <c r="A7575" i="1"/>
  <c r="A7574" i="1"/>
  <c r="A7573" i="1"/>
  <c r="A7572" i="1"/>
  <c r="A7571" i="1"/>
  <c r="A7570" i="1"/>
  <c r="A7569" i="1"/>
  <c r="A7568" i="1"/>
  <c r="A7567" i="1"/>
  <c r="A7566" i="1"/>
  <c r="A7565" i="1"/>
  <c r="A7564" i="1"/>
  <c r="A7563" i="1"/>
  <c r="A7562" i="1"/>
  <c r="A7561" i="1"/>
  <c r="A7560" i="1"/>
  <c r="A7559" i="1"/>
  <c r="A7558" i="1"/>
  <c r="A7557" i="1"/>
  <c r="A7556" i="1"/>
  <c r="A7555" i="1"/>
  <c r="A7554" i="1"/>
  <c r="A7553" i="1"/>
  <c r="A7552" i="1"/>
  <c r="A7551" i="1"/>
  <c r="A7550" i="1"/>
  <c r="A7549" i="1"/>
  <c r="A7548" i="1"/>
  <c r="A7547" i="1"/>
  <c r="A7546" i="1"/>
  <c r="A7545" i="1"/>
  <c r="A7544" i="1"/>
  <c r="A7543" i="1"/>
  <c r="A7542" i="1"/>
  <c r="A7541" i="1"/>
  <c r="A7540" i="1"/>
  <c r="A7539" i="1"/>
  <c r="A7538" i="1"/>
  <c r="A7537" i="1"/>
  <c r="A7536" i="1"/>
  <c r="A7535" i="1"/>
  <c r="A7534" i="1"/>
  <c r="A7533" i="1"/>
  <c r="A7532" i="1"/>
  <c r="A7531" i="1"/>
  <c r="A7530" i="1"/>
  <c r="A7529" i="1"/>
  <c r="A7528" i="1"/>
  <c r="A7527" i="1"/>
  <c r="A7526" i="1"/>
  <c r="A7525" i="1"/>
  <c r="A7524" i="1"/>
  <c r="A7523" i="1"/>
  <c r="A7522" i="1"/>
  <c r="A7521" i="1"/>
  <c r="A7520" i="1"/>
  <c r="A7519" i="1"/>
  <c r="A7518" i="1"/>
  <c r="A7517" i="1"/>
  <c r="A7516" i="1"/>
  <c r="A7515" i="1"/>
  <c r="A7514" i="1"/>
  <c r="A7513" i="1"/>
  <c r="A7512" i="1"/>
  <c r="A7511" i="1"/>
  <c r="A7510" i="1"/>
  <c r="A7509" i="1"/>
  <c r="A7508" i="1"/>
  <c r="A7507" i="1"/>
  <c r="A7506" i="1"/>
  <c r="A7505" i="1"/>
  <c r="A7504" i="1"/>
  <c r="A7503" i="1"/>
  <c r="A7502" i="1"/>
  <c r="A7501" i="1"/>
  <c r="A7500" i="1"/>
  <c r="A7499" i="1"/>
  <c r="A7498" i="1"/>
  <c r="A7497" i="1"/>
  <c r="A7496" i="1"/>
  <c r="A7495" i="1"/>
  <c r="A7494" i="1"/>
  <c r="A7493" i="1"/>
  <c r="A7492" i="1"/>
  <c r="A7491" i="1"/>
  <c r="A7490" i="1"/>
  <c r="A7489" i="1"/>
  <c r="A7488" i="1"/>
  <c r="A7487" i="1"/>
  <c r="A7486" i="1"/>
  <c r="A7485" i="1"/>
  <c r="A7484" i="1"/>
  <c r="A7483" i="1"/>
  <c r="A7482" i="1"/>
  <c r="A7481" i="1"/>
  <c r="A7480" i="1"/>
  <c r="A7479" i="1"/>
  <c r="A7478" i="1"/>
  <c r="A7477" i="1"/>
  <c r="A7476" i="1"/>
  <c r="A7475" i="1"/>
  <c r="A7474" i="1"/>
  <c r="A7473" i="1"/>
  <c r="A7472" i="1"/>
  <c r="A7471" i="1"/>
  <c r="A7470" i="1"/>
  <c r="A7469" i="1"/>
  <c r="A7468" i="1"/>
  <c r="A7467" i="1"/>
  <c r="A7466" i="1"/>
  <c r="A7465" i="1"/>
  <c r="A7464" i="1"/>
  <c r="A7463" i="1"/>
  <c r="A7462" i="1"/>
  <c r="A7461" i="1"/>
  <c r="A7460" i="1"/>
  <c r="A7459" i="1"/>
  <c r="A7458" i="1"/>
  <c r="A7457" i="1"/>
  <c r="A7456" i="1"/>
  <c r="A7455" i="1"/>
  <c r="A7454" i="1"/>
  <c r="A7453" i="1"/>
  <c r="A7452" i="1"/>
  <c r="A7451" i="1"/>
  <c r="A7450" i="1"/>
  <c r="A7449" i="1"/>
  <c r="A7448" i="1"/>
  <c r="A7447" i="1"/>
  <c r="A7446" i="1"/>
  <c r="A7445" i="1"/>
  <c r="A7444" i="1"/>
  <c r="A7443" i="1"/>
  <c r="A7442" i="1"/>
  <c r="A7441" i="1"/>
  <c r="A7440" i="1"/>
  <c r="A7439" i="1"/>
  <c r="A7438" i="1"/>
  <c r="A7437" i="1"/>
  <c r="A7436" i="1"/>
  <c r="A7435" i="1"/>
  <c r="A7434" i="1"/>
  <c r="A7433" i="1"/>
  <c r="A7432" i="1"/>
  <c r="A7431" i="1"/>
  <c r="A7430" i="1"/>
  <c r="A7429" i="1"/>
  <c r="A7428" i="1"/>
  <c r="A7427" i="1"/>
  <c r="A7426" i="1"/>
  <c r="A7425" i="1"/>
  <c r="A7424" i="1"/>
  <c r="A7423" i="1"/>
  <c r="A7422" i="1"/>
  <c r="A7421" i="1"/>
  <c r="A7420" i="1"/>
  <c r="A7419" i="1"/>
  <c r="A7418" i="1"/>
  <c r="A7417" i="1"/>
  <c r="A7416" i="1"/>
  <c r="A7415" i="1"/>
  <c r="A7414" i="1"/>
  <c r="A7413" i="1"/>
  <c r="A7412" i="1"/>
  <c r="A7411" i="1"/>
  <c r="A7410" i="1"/>
  <c r="A7409" i="1"/>
  <c r="A7408" i="1"/>
  <c r="A7407" i="1"/>
  <c r="A7406" i="1"/>
  <c r="A7405" i="1"/>
  <c r="A7404" i="1"/>
  <c r="A7403" i="1"/>
  <c r="A7402" i="1"/>
  <c r="A7401" i="1"/>
  <c r="A7400" i="1"/>
  <c r="A7399" i="1"/>
  <c r="A7398" i="1"/>
  <c r="A7397" i="1"/>
  <c r="A7396" i="1"/>
  <c r="A7395" i="1"/>
  <c r="A7394" i="1"/>
  <c r="A7393" i="1"/>
  <c r="A7392" i="1"/>
  <c r="A7391" i="1"/>
  <c r="A7390" i="1"/>
  <c r="A7389" i="1"/>
  <c r="A7388" i="1"/>
  <c r="A7387" i="1"/>
  <c r="A7386" i="1"/>
  <c r="A7385" i="1"/>
  <c r="A7384" i="1"/>
  <c r="A7383" i="1"/>
  <c r="A7382" i="1"/>
  <c r="A7381" i="1"/>
  <c r="A7380" i="1"/>
  <c r="A7379" i="1"/>
  <c r="A7378" i="1"/>
  <c r="A7377" i="1"/>
  <c r="A7376" i="1"/>
  <c r="A7375" i="1"/>
  <c r="A7374" i="1"/>
  <c r="A7373" i="1"/>
  <c r="A7372" i="1"/>
  <c r="A7371" i="1"/>
  <c r="A7370" i="1"/>
  <c r="A7369" i="1"/>
  <c r="A7368" i="1"/>
  <c r="A7367" i="1"/>
  <c r="A7366" i="1"/>
  <c r="A7365" i="1"/>
  <c r="A7364" i="1"/>
  <c r="A7363" i="1"/>
  <c r="A7362" i="1"/>
  <c r="A7361" i="1"/>
  <c r="A7360" i="1"/>
  <c r="A7359" i="1"/>
  <c r="A7358" i="1"/>
  <c r="A7357" i="1"/>
  <c r="A7356" i="1"/>
  <c r="A7355" i="1"/>
  <c r="A7354" i="1"/>
  <c r="A7353" i="1"/>
  <c r="A7352" i="1"/>
  <c r="A7351" i="1"/>
  <c r="A7350" i="1"/>
  <c r="A7349" i="1"/>
  <c r="A7348" i="1"/>
  <c r="A7347" i="1"/>
  <c r="A7346" i="1"/>
  <c r="A7345" i="1"/>
  <c r="A7344" i="1"/>
  <c r="A7343" i="1"/>
  <c r="A7342" i="1"/>
  <c r="A7341" i="1"/>
  <c r="A7340" i="1"/>
  <c r="A7339" i="1"/>
  <c r="A7338" i="1"/>
  <c r="A7337" i="1"/>
  <c r="A7336" i="1"/>
  <c r="A7335" i="1"/>
  <c r="A7334" i="1"/>
  <c r="A7333" i="1"/>
  <c r="A7332" i="1"/>
  <c r="A7331" i="1"/>
  <c r="A7330" i="1"/>
  <c r="A7329" i="1"/>
  <c r="A7328" i="1"/>
  <c r="A7327" i="1"/>
  <c r="A7326" i="1"/>
  <c r="A7325" i="1"/>
  <c r="A7324" i="1"/>
  <c r="A7323" i="1"/>
  <c r="A7322" i="1"/>
  <c r="A7321" i="1"/>
  <c r="A7320" i="1"/>
  <c r="A7319" i="1"/>
  <c r="A7318" i="1"/>
  <c r="A7317" i="1"/>
  <c r="A7316" i="1"/>
  <c r="A7315" i="1"/>
  <c r="A7314" i="1"/>
  <c r="A7313" i="1"/>
  <c r="A7312" i="1"/>
  <c r="A7311" i="1"/>
  <c r="A7310" i="1"/>
  <c r="A7309" i="1"/>
  <c r="A7308" i="1"/>
  <c r="A7307" i="1"/>
  <c r="A7306" i="1"/>
  <c r="A7305" i="1"/>
  <c r="A7304" i="1"/>
  <c r="A7303" i="1"/>
  <c r="A7302" i="1"/>
  <c r="A7301" i="1"/>
  <c r="A7300" i="1"/>
  <c r="A7299" i="1"/>
  <c r="A7298" i="1"/>
  <c r="A7297" i="1"/>
  <c r="A7296" i="1"/>
  <c r="A7295" i="1"/>
  <c r="A7294" i="1"/>
  <c r="A7293" i="1"/>
  <c r="A7292" i="1"/>
  <c r="A7291" i="1"/>
  <c r="A7290" i="1"/>
  <c r="A7289" i="1"/>
  <c r="A7288" i="1"/>
  <c r="A7287" i="1"/>
  <c r="A7286" i="1"/>
  <c r="A7285" i="1"/>
  <c r="A7284" i="1"/>
  <c r="A7283" i="1"/>
  <c r="A7282" i="1"/>
  <c r="A7281" i="1"/>
  <c r="A7280" i="1"/>
  <c r="A7279" i="1"/>
  <c r="A7278" i="1"/>
  <c r="A7277" i="1"/>
  <c r="A7276" i="1"/>
  <c r="A7275" i="1"/>
  <c r="A7274" i="1"/>
  <c r="A7273" i="1"/>
  <c r="A7272" i="1"/>
  <c r="A7271" i="1"/>
  <c r="A7270" i="1"/>
  <c r="A7269" i="1"/>
  <c r="A7268" i="1"/>
  <c r="A7267" i="1"/>
  <c r="A7266" i="1"/>
  <c r="A7265" i="1"/>
  <c r="A7264" i="1"/>
  <c r="A7263" i="1"/>
  <c r="A7262" i="1"/>
  <c r="A7261" i="1"/>
  <c r="A7260" i="1"/>
  <c r="A7259" i="1"/>
  <c r="A7258" i="1"/>
  <c r="A7257" i="1"/>
  <c r="A7256" i="1"/>
  <c r="A7255" i="1"/>
  <c r="A7254" i="1"/>
  <c r="A7253" i="1"/>
  <c r="A7252" i="1"/>
  <c r="A7251" i="1"/>
  <c r="A7250" i="1"/>
  <c r="A7249" i="1"/>
  <c r="A7248" i="1"/>
  <c r="A7247" i="1"/>
  <c r="A7246" i="1"/>
  <c r="A7245" i="1"/>
  <c r="A7244" i="1"/>
  <c r="A7243" i="1"/>
  <c r="A7242" i="1"/>
  <c r="A7241" i="1"/>
  <c r="A7240" i="1"/>
  <c r="A7239" i="1"/>
  <c r="A7238" i="1"/>
  <c r="A7237" i="1"/>
  <c r="A7236" i="1"/>
  <c r="A7235" i="1"/>
  <c r="A7234" i="1"/>
  <c r="A7233" i="1"/>
  <c r="A7232" i="1"/>
  <c r="A7231" i="1"/>
  <c r="A7230" i="1"/>
  <c r="A7229" i="1"/>
  <c r="A7228" i="1"/>
  <c r="A7227" i="1"/>
  <c r="A7226" i="1"/>
  <c r="A7225" i="1"/>
  <c r="A7224" i="1"/>
  <c r="A7223" i="1"/>
  <c r="A7222" i="1"/>
  <c r="A7221" i="1"/>
  <c r="A7220" i="1"/>
  <c r="A7219" i="1"/>
  <c r="A7218" i="1"/>
  <c r="A7217" i="1"/>
  <c r="A7216" i="1"/>
  <c r="A7215" i="1"/>
  <c r="A7214" i="1"/>
  <c r="A7213" i="1"/>
  <c r="A7212" i="1"/>
  <c r="A7211" i="1"/>
  <c r="A7210" i="1"/>
  <c r="A7209" i="1"/>
  <c r="A7208" i="1"/>
  <c r="A7207" i="1"/>
  <c r="A7206" i="1"/>
  <c r="A7205" i="1"/>
  <c r="A7204" i="1"/>
  <c r="A7203" i="1"/>
  <c r="A7202" i="1"/>
  <c r="A7201" i="1"/>
  <c r="A7200" i="1"/>
  <c r="A7199" i="1"/>
  <c r="A7198" i="1"/>
  <c r="A7197" i="1"/>
  <c r="A7196" i="1"/>
  <c r="A7195" i="1"/>
  <c r="A7194" i="1"/>
  <c r="A7193" i="1"/>
  <c r="A7192" i="1"/>
  <c r="A7191" i="1"/>
  <c r="A7190" i="1"/>
  <c r="A7189" i="1"/>
  <c r="A7188" i="1"/>
  <c r="A7187" i="1"/>
  <c r="A7186" i="1"/>
  <c r="A7185" i="1"/>
  <c r="A7184" i="1"/>
  <c r="A7183" i="1"/>
  <c r="A7182" i="1"/>
  <c r="A7181" i="1"/>
  <c r="A7180" i="1"/>
  <c r="A7179" i="1"/>
  <c r="A7178" i="1"/>
  <c r="A7177" i="1"/>
  <c r="A7176" i="1"/>
  <c r="A7175" i="1"/>
  <c r="A7174" i="1"/>
  <c r="A7173" i="1"/>
  <c r="A7172" i="1"/>
  <c r="A7171" i="1"/>
  <c r="A7170" i="1"/>
  <c r="A7169" i="1"/>
  <c r="A7168" i="1"/>
  <c r="A7167" i="1"/>
  <c r="A7166" i="1"/>
  <c r="A7165" i="1"/>
  <c r="A7164" i="1"/>
  <c r="A7163" i="1"/>
  <c r="A7162" i="1"/>
  <c r="A7161" i="1"/>
  <c r="A7160" i="1"/>
  <c r="A7159" i="1"/>
  <c r="A7158" i="1"/>
  <c r="A7157" i="1"/>
  <c r="A7156" i="1"/>
  <c r="A7155" i="1"/>
  <c r="A7154" i="1"/>
  <c r="A7153" i="1"/>
  <c r="A7152" i="1"/>
  <c r="A7151" i="1"/>
  <c r="A7150" i="1"/>
  <c r="A7149" i="1"/>
  <c r="A7148" i="1"/>
  <c r="A7147" i="1"/>
  <c r="A7146" i="1"/>
  <c r="A7145" i="1"/>
  <c r="A7144" i="1"/>
  <c r="A7143" i="1"/>
  <c r="A7142" i="1"/>
  <c r="A7141" i="1"/>
  <c r="A7140" i="1"/>
  <c r="A7139" i="1"/>
  <c r="A7138" i="1"/>
  <c r="A7137" i="1"/>
  <c r="A7136" i="1"/>
  <c r="A7135" i="1"/>
  <c r="A7134" i="1"/>
  <c r="A7133" i="1"/>
  <c r="A7132" i="1"/>
  <c r="A7131" i="1"/>
  <c r="A7130" i="1"/>
  <c r="A7129" i="1"/>
  <c r="A7128" i="1"/>
  <c r="A7127" i="1"/>
  <c r="A7126" i="1"/>
  <c r="A7125" i="1"/>
  <c r="A7124" i="1"/>
  <c r="A7123" i="1"/>
  <c r="A7122" i="1"/>
  <c r="A7121" i="1"/>
  <c r="A7120" i="1"/>
  <c r="A7119" i="1"/>
  <c r="A7118" i="1"/>
  <c r="A7117" i="1"/>
  <c r="A7116" i="1"/>
  <c r="A7115" i="1"/>
  <c r="A7114" i="1"/>
  <c r="A7113" i="1"/>
  <c r="A7112" i="1"/>
  <c r="A7111" i="1"/>
  <c r="A7110" i="1"/>
  <c r="A7109" i="1"/>
  <c r="A7108" i="1"/>
  <c r="A7107" i="1"/>
  <c r="A7106" i="1"/>
  <c r="A7105" i="1"/>
  <c r="A7104" i="1"/>
  <c r="A7103" i="1"/>
  <c r="A7102" i="1"/>
  <c r="A7101" i="1"/>
  <c r="A7100" i="1"/>
  <c r="A7099" i="1"/>
  <c r="A7098" i="1"/>
  <c r="A7097" i="1"/>
  <c r="A7096" i="1"/>
  <c r="A7095" i="1"/>
  <c r="A7094" i="1"/>
  <c r="A7093" i="1"/>
  <c r="A7092" i="1"/>
  <c r="A7091" i="1"/>
  <c r="A7090" i="1"/>
  <c r="A7089" i="1"/>
  <c r="A7088" i="1"/>
  <c r="A7087" i="1"/>
  <c r="A7086" i="1"/>
  <c r="A7085" i="1"/>
  <c r="A7084" i="1"/>
  <c r="A7083" i="1"/>
  <c r="A7082" i="1"/>
  <c r="A7081" i="1"/>
  <c r="A7080" i="1"/>
  <c r="A7079" i="1"/>
  <c r="A7078" i="1"/>
  <c r="A7077" i="1"/>
  <c r="A7076" i="1"/>
  <c r="A7075" i="1"/>
  <c r="A7074" i="1"/>
  <c r="A7073" i="1"/>
  <c r="A7072" i="1"/>
  <c r="A7071" i="1"/>
  <c r="A7070" i="1"/>
  <c r="A7069" i="1"/>
  <c r="A7068" i="1"/>
  <c r="A7067" i="1"/>
  <c r="A7066" i="1"/>
  <c r="A7065" i="1"/>
  <c r="A7064" i="1"/>
  <c r="A7063" i="1"/>
  <c r="A7062" i="1"/>
  <c r="A7061" i="1"/>
  <c r="A7060" i="1"/>
  <c r="A7059" i="1"/>
  <c r="A7058" i="1"/>
  <c r="A7057" i="1"/>
  <c r="A7056" i="1"/>
  <c r="A7055" i="1"/>
  <c r="A7054" i="1"/>
  <c r="A7053" i="1"/>
  <c r="A7052" i="1"/>
  <c r="A7051" i="1"/>
  <c r="A7050" i="1"/>
  <c r="A7049" i="1"/>
  <c r="A7048" i="1"/>
  <c r="A7047" i="1"/>
  <c r="A7046" i="1"/>
  <c r="A7045" i="1"/>
  <c r="A7044" i="1"/>
  <c r="A7043" i="1"/>
  <c r="A7042" i="1"/>
  <c r="A7041" i="1"/>
  <c r="A7040" i="1"/>
  <c r="A7039" i="1"/>
  <c r="A7038" i="1"/>
  <c r="A7037" i="1"/>
  <c r="A7036" i="1"/>
  <c r="A7035" i="1"/>
  <c r="A7034" i="1"/>
  <c r="A7033" i="1"/>
  <c r="A7032" i="1"/>
  <c r="A7031" i="1"/>
  <c r="A7030" i="1"/>
  <c r="A7029" i="1"/>
  <c r="A7028" i="1"/>
  <c r="A7027" i="1"/>
  <c r="A7026" i="1"/>
  <c r="A7025" i="1"/>
  <c r="A7024" i="1"/>
  <c r="A7023" i="1"/>
  <c r="A7022" i="1"/>
  <c r="A7021" i="1"/>
  <c r="A7020" i="1"/>
  <c r="A7019" i="1"/>
  <c r="A7018" i="1"/>
  <c r="A7017" i="1"/>
  <c r="A7016" i="1"/>
  <c r="A7015" i="1"/>
  <c r="A7014" i="1"/>
  <c r="A7013" i="1"/>
  <c r="A7012" i="1"/>
  <c r="A7011" i="1"/>
  <c r="A7010" i="1"/>
  <c r="A7009" i="1"/>
  <c r="A7008" i="1"/>
  <c r="A7007" i="1"/>
  <c r="A7006" i="1"/>
  <c r="A7005" i="1"/>
  <c r="A7004" i="1"/>
  <c r="A7003" i="1"/>
  <c r="A7002" i="1"/>
  <c r="A7001" i="1"/>
  <c r="A7000" i="1"/>
  <c r="A6999" i="1"/>
  <c r="A6998" i="1"/>
  <c r="A6997" i="1"/>
  <c r="A6996" i="1"/>
  <c r="A6995" i="1"/>
  <c r="A6994" i="1"/>
  <c r="A6993" i="1"/>
  <c r="A6992" i="1"/>
  <c r="A6991" i="1"/>
  <c r="A6990" i="1"/>
  <c r="A6989" i="1"/>
  <c r="A6988" i="1"/>
  <c r="A6987" i="1"/>
  <c r="A6986" i="1"/>
  <c r="A6985" i="1"/>
  <c r="A6984" i="1"/>
  <c r="A6983" i="1"/>
  <c r="A6982" i="1"/>
  <c r="A6981" i="1"/>
  <c r="A6980" i="1"/>
  <c r="A6979" i="1"/>
  <c r="A6978" i="1"/>
  <c r="A6977" i="1"/>
  <c r="A6976" i="1"/>
  <c r="A6975" i="1"/>
  <c r="A6974" i="1"/>
  <c r="A6973" i="1"/>
  <c r="A6972" i="1"/>
  <c r="A6971" i="1"/>
  <c r="A6970" i="1"/>
  <c r="A6969" i="1"/>
  <c r="A6968" i="1"/>
  <c r="A6967" i="1"/>
  <c r="A6966" i="1"/>
  <c r="A6965" i="1"/>
  <c r="A6964" i="1"/>
  <c r="A6963" i="1"/>
  <c r="A6962" i="1"/>
  <c r="A6961" i="1"/>
  <c r="A6960" i="1"/>
  <c r="A6959" i="1"/>
  <c r="A6958" i="1"/>
  <c r="A6957" i="1"/>
  <c r="A6956" i="1"/>
  <c r="A6955" i="1"/>
  <c r="A6954" i="1"/>
  <c r="A6953" i="1"/>
  <c r="A6952" i="1"/>
  <c r="A6951" i="1"/>
  <c r="A6950" i="1"/>
  <c r="A6949" i="1"/>
  <c r="A6948" i="1"/>
  <c r="A6947" i="1"/>
  <c r="A6946" i="1"/>
  <c r="A6945" i="1"/>
  <c r="A6944" i="1"/>
  <c r="A6943" i="1"/>
  <c r="A6942" i="1"/>
  <c r="A6941" i="1"/>
  <c r="A6940" i="1"/>
  <c r="A6939" i="1"/>
  <c r="A6938" i="1"/>
  <c r="A6937" i="1"/>
  <c r="A6936" i="1"/>
  <c r="A6935" i="1"/>
  <c r="A6934" i="1"/>
  <c r="A6933" i="1"/>
  <c r="A6932" i="1"/>
  <c r="A6931" i="1"/>
  <c r="A6930" i="1"/>
  <c r="A6929" i="1"/>
  <c r="A6928" i="1"/>
  <c r="A6927" i="1"/>
  <c r="A6926" i="1"/>
  <c r="A6925" i="1"/>
  <c r="A6924" i="1"/>
  <c r="A6923" i="1"/>
  <c r="A6922" i="1"/>
  <c r="A6921" i="1"/>
  <c r="A6920" i="1"/>
  <c r="A6919" i="1"/>
  <c r="A6918" i="1"/>
  <c r="A6917" i="1"/>
  <c r="A6916" i="1"/>
  <c r="A6915" i="1"/>
  <c r="A6914" i="1"/>
  <c r="A6913" i="1"/>
  <c r="A6912" i="1"/>
  <c r="A6911" i="1"/>
  <c r="A6910" i="1"/>
  <c r="A6909" i="1"/>
  <c r="A6908" i="1"/>
  <c r="A6907" i="1"/>
  <c r="A6906" i="1"/>
  <c r="A6905" i="1"/>
  <c r="A6904" i="1"/>
  <c r="A6903" i="1"/>
  <c r="A6902" i="1"/>
  <c r="A6901" i="1"/>
  <c r="A6900" i="1"/>
  <c r="A6899" i="1"/>
  <c r="A6898" i="1"/>
  <c r="A6897" i="1"/>
  <c r="A6896" i="1"/>
  <c r="A6895" i="1"/>
  <c r="A6894" i="1"/>
  <c r="A6893" i="1"/>
  <c r="A6892" i="1"/>
  <c r="A6891" i="1"/>
  <c r="A6890" i="1"/>
  <c r="A6889" i="1"/>
  <c r="A6888" i="1"/>
  <c r="A6887" i="1"/>
  <c r="A6886" i="1"/>
  <c r="A6885" i="1"/>
  <c r="A6884" i="1"/>
  <c r="A6883" i="1"/>
  <c r="A6882" i="1"/>
  <c r="A6881" i="1"/>
  <c r="A6880" i="1"/>
  <c r="A6879" i="1"/>
  <c r="A6878" i="1"/>
  <c r="A6877" i="1"/>
  <c r="A6876" i="1"/>
  <c r="A6875" i="1"/>
  <c r="A6874" i="1"/>
  <c r="A6873" i="1"/>
  <c r="A6872" i="1"/>
  <c r="A6871" i="1"/>
  <c r="A6870" i="1"/>
  <c r="A6869" i="1"/>
  <c r="A6868" i="1"/>
  <c r="A6867" i="1"/>
  <c r="A6866" i="1"/>
  <c r="A6865" i="1"/>
  <c r="A6864" i="1"/>
  <c r="A6863" i="1"/>
  <c r="A6862" i="1"/>
  <c r="A6861" i="1"/>
  <c r="A6860" i="1"/>
  <c r="A6859" i="1"/>
  <c r="A6858" i="1"/>
  <c r="A6857" i="1"/>
  <c r="A6856" i="1"/>
  <c r="A6855" i="1"/>
  <c r="A6854" i="1"/>
  <c r="A6853" i="1"/>
  <c r="A6852" i="1"/>
  <c r="A6851" i="1"/>
  <c r="A6850" i="1"/>
  <c r="A6849" i="1"/>
  <c r="A6848" i="1"/>
  <c r="A6847" i="1"/>
  <c r="A6846" i="1"/>
  <c r="A6845" i="1"/>
  <c r="A6844" i="1"/>
  <c r="A6843" i="1"/>
  <c r="A6842" i="1"/>
  <c r="A6841" i="1"/>
  <c r="A6840" i="1"/>
  <c r="A6839" i="1"/>
  <c r="A6838" i="1"/>
  <c r="A6837" i="1"/>
  <c r="A6836" i="1"/>
  <c r="A6835" i="1"/>
  <c r="A6834" i="1"/>
  <c r="A6833" i="1"/>
  <c r="A6832" i="1"/>
  <c r="A6831" i="1"/>
  <c r="A6830" i="1"/>
  <c r="A6829" i="1"/>
  <c r="A6828" i="1"/>
  <c r="A6827" i="1"/>
  <c r="A6826" i="1"/>
  <c r="A6825" i="1"/>
  <c r="A6824" i="1"/>
  <c r="A6823" i="1"/>
  <c r="A6822" i="1"/>
  <c r="A6821" i="1"/>
  <c r="A6820" i="1"/>
  <c r="A6819" i="1"/>
  <c r="A6818" i="1"/>
  <c r="A6817" i="1"/>
  <c r="A6816" i="1"/>
  <c r="A6815" i="1"/>
  <c r="A6814" i="1"/>
  <c r="A6813" i="1"/>
  <c r="A6812" i="1"/>
  <c r="A6811" i="1"/>
  <c r="A6810" i="1"/>
  <c r="A6809" i="1"/>
  <c r="A6808" i="1"/>
  <c r="A6807" i="1"/>
  <c r="A6806" i="1"/>
  <c r="A6805" i="1"/>
  <c r="A6804" i="1"/>
  <c r="A6803" i="1"/>
  <c r="A6802" i="1"/>
  <c r="A6801" i="1"/>
  <c r="A6800" i="1"/>
  <c r="A6799" i="1"/>
  <c r="A6798" i="1"/>
  <c r="A6797" i="1"/>
  <c r="A6796" i="1"/>
  <c r="A6795" i="1"/>
  <c r="A6794" i="1"/>
  <c r="A6793" i="1"/>
  <c r="A6792" i="1"/>
  <c r="A6791" i="1"/>
  <c r="A6790" i="1"/>
  <c r="A6789" i="1"/>
  <c r="A6788" i="1"/>
  <c r="A6787" i="1"/>
  <c r="A6786" i="1"/>
  <c r="A6785" i="1"/>
  <c r="A6784" i="1"/>
  <c r="A6783" i="1"/>
  <c r="A6782" i="1"/>
  <c r="A6781" i="1"/>
  <c r="A6780" i="1"/>
  <c r="A6779" i="1"/>
  <c r="A6778" i="1"/>
  <c r="A6777" i="1"/>
  <c r="A6776" i="1"/>
  <c r="A6775" i="1"/>
  <c r="A6774" i="1"/>
  <c r="A6773" i="1"/>
  <c r="A6772" i="1"/>
  <c r="A6771" i="1"/>
  <c r="A6770" i="1"/>
  <c r="A6769" i="1"/>
  <c r="A6768" i="1"/>
  <c r="A6767" i="1"/>
  <c r="A6766" i="1"/>
  <c r="A6765" i="1"/>
  <c r="A6764" i="1"/>
  <c r="A6763" i="1"/>
  <c r="A6762" i="1"/>
  <c r="A6761" i="1"/>
  <c r="A6760" i="1"/>
  <c r="A6759" i="1"/>
  <c r="A6758" i="1"/>
  <c r="A6757" i="1"/>
  <c r="A6756" i="1"/>
  <c r="A6755" i="1"/>
  <c r="A6754" i="1"/>
  <c r="A6753" i="1"/>
  <c r="A6752" i="1"/>
  <c r="A6751" i="1"/>
  <c r="A6750" i="1"/>
  <c r="A6749" i="1"/>
  <c r="A6748" i="1"/>
  <c r="A6747" i="1"/>
  <c r="A6746" i="1"/>
  <c r="A6745" i="1"/>
  <c r="A6744" i="1"/>
  <c r="A6743" i="1"/>
  <c r="A6742" i="1"/>
  <c r="A6741" i="1"/>
  <c r="A6740" i="1"/>
  <c r="A6739" i="1"/>
  <c r="A6738" i="1"/>
  <c r="A6737" i="1"/>
  <c r="A6736" i="1"/>
  <c r="A6735" i="1"/>
  <c r="A6734" i="1"/>
  <c r="A6733" i="1"/>
  <c r="A6732" i="1"/>
  <c r="A6731" i="1"/>
  <c r="A6730" i="1"/>
  <c r="A6729" i="1"/>
  <c r="A6728" i="1"/>
  <c r="A6727" i="1"/>
  <c r="A6726" i="1"/>
  <c r="A6725" i="1"/>
  <c r="A6724" i="1"/>
  <c r="A6723" i="1"/>
  <c r="A6722" i="1"/>
  <c r="A6721" i="1"/>
  <c r="A6720" i="1"/>
  <c r="A6719" i="1"/>
  <c r="A6718" i="1"/>
  <c r="A6717" i="1"/>
  <c r="A6716" i="1"/>
  <c r="A6715" i="1"/>
  <c r="A6714" i="1"/>
  <c r="A6713" i="1"/>
  <c r="A6712" i="1"/>
  <c r="A6711" i="1"/>
  <c r="A6710" i="1"/>
  <c r="A6709" i="1"/>
  <c r="A6708" i="1"/>
  <c r="A6707" i="1"/>
  <c r="A6706" i="1"/>
  <c r="A6705" i="1"/>
  <c r="A6704" i="1"/>
  <c r="A6703" i="1"/>
  <c r="A6702" i="1"/>
  <c r="A6701" i="1"/>
  <c r="A6700" i="1"/>
  <c r="A6699" i="1"/>
  <c r="A6698" i="1"/>
  <c r="A6697" i="1"/>
  <c r="A6696" i="1"/>
  <c r="A6695" i="1"/>
  <c r="A6694" i="1"/>
  <c r="A6693" i="1"/>
  <c r="A6692" i="1"/>
  <c r="A6691" i="1"/>
  <c r="A6690" i="1"/>
  <c r="A6689" i="1"/>
  <c r="A6688" i="1"/>
  <c r="A6687" i="1"/>
  <c r="A6686" i="1"/>
  <c r="A6685" i="1"/>
  <c r="A6684" i="1"/>
  <c r="A6683" i="1"/>
  <c r="A6682" i="1"/>
  <c r="A6681" i="1"/>
  <c r="A6680" i="1"/>
  <c r="A6679" i="1"/>
  <c r="A6678" i="1"/>
  <c r="A6677" i="1"/>
  <c r="A6676" i="1"/>
  <c r="A6675" i="1"/>
  <c r="A6674" i="1"/>
  <c r="A6673" i="1"/>
  <c r="A6672" i="1"/>
  <c r="A6671" i="1"/>
  <c r="A6670" i="1"/>
  <c r="A6669" i="1"/>
  <c r="A6668" i="1"/>
  <c r="A6667" i="1"/>
  <c r="A6666" i="1"/>
  <c r="A6665" i="1"/>
  <c r="A6664" i="1"/>
  <c r="A6663" i="1"/>
  <c r="A6662" i="1"/>
  <c r="A6661" i="1"/>
  <c r="A6660" i="1"/>
  <c r="A6659" i="1"/>
  <c r="A6658" i="1"/>
  <c r="A6657" i="1"/>
  <c r="A6656" i="1"/>
  <c r="A6655" i="1"/>
  <c r="A6654" i="1"/>
  <c r="A6653" i="1"/>
  <c r="A6652" i="1"/>
  <c r="A6651" i="1"/>
  <c r="A6650" i="1"/>
  <c r="A6649" i="1"/>
  <c r="A6648" i="1"/>
  <c r="A6647" i="1"/>
  <c r="A6646" i="1"/>
  <c r="A6645" i="1"/>
  <c r="A6644" i="1"/>
  <c r="A6643" i="1"/>
  <c r="A6642" i="1"/>
  <c r="A6641" i="1"/>
  <c r="A6640" i="1"/>
  <c r="A6639" i="1"/>
  <c r="A6638" i="1"/>
  <c r="A6637" i="1"/>
  <c r="A6636" i="1"/>
  <c r="A6635" i="1"/>
  <c r="A6634" i="1"/>
  <c r="A6633" i="1"/>
  <c r="A6632" i="1"/>
  <c r="A6631" i="1"/>
  <c r="A6630" i="1"/>
  <c r="A6629" i="1"/>
  <c r="A6628" i="1"/>
  <c r="A6627" i="1"/>
  <c r="A6626" i="1"/>
  <c r="A6625" i="1"/>
  <c r="A6624" i="1"/>
  <c r="A6623" i="1"/>
  <c r="A6622" i="1"/>
  <c r="A6621" i="1"/>
  <c r="A6620" i="1"/>
  <c r="A6619" i="1"/>
  <c r="A6618" i="1"/>
  <c r="A6617" i="1"/>
  <c r="A6616" i="1"/>
  <c r="A6615" i="1"/>
  <c r="A6614" i="1"/>
  <c r="A6613" i="1"/>
  <c r="A6612" i="1"/>
  <c r="A6611" i="1"/>
  <c r="A6610" i="1"/>
  <c r="A6609" i="1"/>
  <c r="A6608" i="1"/>
  <c r="A6607" i="1"/>
  <c r="A6606" i="1"/>
  <c r="A6605" i="1"/>
  <c r="A6604" i="1"/>
  <c r="A6603" i="1"/>
  <c r="A6602" i="1"/>
  <c r="A6601" i="1"/>
  <c r="A6600" i="1"/>
  <c r="A6599" i="1"/>
  <c r="A6598" i="1"/>
  <c r="A6597" i="1"/>
  <c r="A6596" i="1"/>
  <c r="A6595" i="1"/>
  <c r="A6594" i="1"/>
  <c r="A6593" i="1"/>
  <c r="A6592" i="1"/>
  <c r="A6591" i="1"/>
  <c r="A6590" i="1"/>
  <c r="A6589" i="1"/>
  <c r="A6588" i="1"/>
  <c r="A6587" i="1"/>
  <c r="A6586" i="1"/>
  <c r="A6585" i="1"/>
  <c r="A6584" i="1"/>
  <c r="A6583" i="1"/>
  <c r="A6582" i="1"/>
  <c r="A6581" i="1"/>
  <c r="A6580" i="1"/>
  <c r="A6579" i="1"/>
  <c r="A6578" i="1"/>
  <c r="A6577" i="1"/>
  <c r="A6576" i="1"/>
  <c r="A6575" i="1"/>
  <c r="A6574" i="1"/>
  <c r="A6573" i="1"/>
  <c r="A6572" i="1"/>
  <c r="A6571" i="1"/>
  <c r="A6570" i="1"/>
  <c r="A6569" i="1"/>
  <c r="A6568" i="1"/>
  <c r="A6567" i="1"/>
  <c r="A6566" i="1"/>
  <c r="A6565" i="1"/>
  <c r="A6564" i="1"/>
  <c r="A6563" i="1"/>
  <c r="A6562" i="1"/>
  <c r="A6561" i="1"/>
  <c r="A6560" i="1"/>
  <c r="A6559" i="1"/>
  <c r="A6558" i="1"/>
  <c r="A6557" i="1"/>
  <c r="A6556" i="1"/>
  <c r="A6555" i="1"/>
  <c r="A6554" i="1"/>
  <c r="A6553" i="1"/>
  <c r="A6552" i="1"/>
  <c r="A6551" i="1"/>
  <c r="A6550" i="1"/>
  <c r="A6549" i="1"/>
  <c r="A6548" i="1"/>
  <c r="A6547" i="1"/>
  <c r="A6546" i="1"/>
  <c r="A6545" i="1"/>
  <c r="A6544" i="1"/>
  <c r="A6543" i="1"/>
  <c r="A6542" i="1"/>
  <c r="A6541" i="1"/>
  <c r="A6540" i="1"/>
  <c r="A6539" i="1"/>
  <c r="A6538" i="1"/>
  <c r="A6537" i="1"/>
  <c r="A6536" i="1"/>
  <c r="A6535" i="1"/>
  <c r="A6534" i="1"/>
  <c r="A6533" i="1"/>
  <c r="A6532" i="1"/>
  <c r="A6531" i="1"/>
  <c r="A6530" i="1"/>
  <c r="A6529" i="1"/>
  <c r="A6528" i="1"/>
  <c r="A6527" i="1"/>
  <c r="A6526" i="1"/>
  <c r="A6525" i="1"/>
  <c r="A6524" i="1"/>
  <c r="A6523" i="1"/>
  <c r="A6522" i="1"/>
  <c r="A6521" i="1"/>
  <c r="A6520" i="1"/>
  <c r="A6519" i="1"/>
  <c r="A6518" i="1"/>
  <c r="A6517" i="1"/>
  <c r="A6516" i="1"/>
  <c r="A6515" i="1"/>
  <c r="A6514" i="1"/>
  <c r="A6513" i="1"/>
  <c r="A6512" i="1"/>
  <c r="A6511" i="1"/>
  <c r="A6510" i="1"/>
  <c r="A6509" i="1"/>
  <c r="A6508" i="1"/>
  <c r="A6507" i="1"/>
  <c r="A6506" i="1"/>
  <c r="A6505" i="1"/>
  <c r="A6504" i="1"/>
  <c r="A6503" i="1"/>
  <c r="A6502" i="1"/>
  <c r="A6501" i="1"/>
  <c r="A6500" i="1"/>
  <c r="A6499" i="1"/>
  <c r="A6498" i="1"/>
  <c r="A6497" i="1"/>
  <c r="A6496" i="1"/>
  <c r="A6495" i="1"/>
  <c r="A6494" i="1"/>
  <c r="A6493" i="1"/>
  <c r="A6492" i="1"/>
  <c r="A6491" i="1"/>
  <c r="A6490" i="1"/>
  <c r="A6489" i="1"/>
  <c r="A6488" i="1"/>
  <c r="A6487" i="1"/>
  <c r="A6486" i="1"/>
  <c r="A6485" i="1"/>
  <c r="A6484" i="1"/>
  <c r="A6483" i="1"/>
  <c r="A6482" i="1"/>
  <c r="A6481" i="1"/>
  <c r="A6480" i="1"/>
  <c r="A6479" i="1"/>
  <c r="A6478" i="1"/>
  <c r="A6477" i="1"/>
  <c r="A6476" i="1"/>
  <c r="A6475" i="1"/>
  <c r="A6474" i="1"/>
  <c r="A6473" i="1"/>
  <c r="A6472" i="1"/>
  <c r="A6471" i="1"/>
  <c r="A6470" i="1"/>
  <c r="A6469" i="1"/>
  <c r="A6468" i="1"/>
  <c r="A6467" i="1"/>
  <c r="A6466" i="1"/>
  <c r="A6465" i="1"/>
  <c r="A6464" i="1"/>
  <c r="A6463" i="1"/>
  <c r="A6462" i="1"/>
  <c r="A6461" i="1"/>
  <c r="A6460" i="1"/>
  <c r="A6459" i="1"/>
  <c r="A6458" i="1"/>
  <c r="A6457" i="1"/>
  <c r="A6456" i="1"/>
  <c r="A6455" i="1"/>
  <c r="A6454" i="1"/>
  <c r="A6453" i="1"/>
  <c r="A6452" i="1"/>
  <c r="A6451" i="1"/>
  <c r="A6450" i="1"/>
  <c r="A6449" i="1"/>
  <c r="A6448" i="1"/>
  <c r="A6447" i="1"/>
  <c r="A6446" i="1"/>
  <c r="A6445" i="1"/>
  <c r="A6444" i="1"/>
  <c r="A6443" i="1"/>
  <c r="A6442" i="1"/>
  <c r="A6441" i="1"/>
  <c r="A6440" i="1"/>
  <c r="A6439" i="1"/>
  <c r="A6438" i="1"/>
  <c r="A6437" i="1"/>
  <c r="A6436" i="1"/>
  <c r="A6435" i="1"/>
  <c r="A6434" i="1"/>
  <c r="A6433" i="1"/>
  <c r="A6432" i="1"/>
  <c r="A6431" i="1"/>
  <c r="A6430" i="1"/>
  <c r="A6429" i="1"/>
  <c r="A6428" i="1"/>
  <c r="A6427" i="1"/>
  <c r="A6426" i="1"/>
  <c r="A6425" i="1"/>
  <c r="A6424" i="1"/>
  <c r="A6423" i="1"/>
  <c r="A6422" i="1"/>
  <c r="A6421" i="1"/>
  <c r="A6420" i="1"/>
  <c r="A6419" i="1"/>
  <c r="A6418" i="1"/>
  <c r="A6417" i="1"/>
  <c r="A6416" i="1"/>
  <c r="A6415" i="1"/>
  <c r="A6414" i="1"/>
  <c r="A6413" i="1"/>
  <c r="A6412" i="1"/>
  <c r="A6411" i="1"/>
  <c r="A6410" i="1"/>
  <c r="A6409" i="1"/>
  <c r="A6408" i="1"/>
  <c r="A6407" i="1"/>
  <c r="A6406" i="1"/>
  <c r="A6405" i="1"/>
  <c r="A6404" i="1"/>
  <c r="A6403" i="1"/>
  <c r="A6402" i="1"/>
  <c r="A6401" i="1"/>
  <c r="A6400" i="1"/>
  <c r="A6399" i="1"/>
  <c r="A6398" i="1"/>
  <c r="A6397" i="1"/>
  <c r="A6396" i="1"/>
  <c r="A6395" i="1"/>
  <c r="A6394" i="1"/>
  <c r="A6393" i="1"/>
  <c r="A6392" i="1"/>
  <c r="A6391" i="1"/>
  <c r="A6390" i="1"/>
  <c r="A6389" i="1"/>
  <c r="A6388" i="1"/>
  <c r="A6387" i="1"/>
  <c r="A6386" i="1"/>
  <c r="A6385" i="1"/>
  <c r="A6384" i="1"/>
  <c r="A6383" i="1"/>
  <c r="A6382" i="1"/>
  <c r="A6381" i="1"/>
  <c r="A6380" i="1"/>
  <c r="A6379" i="1"/>
  <c r="A6378" i="1"/>
  <c r="A6377" i="1"/>
  <c r="A6376" i="1"/>
  <c r="A6375" i="1"/>
  <c r="A6374" i="1"/>
  <c r="A6373" i="1"/>
  <c r="A6372" i="1"/>
  <c r="A6371" i="1"/>
  <c r="A6370" i="1"/>
  <c r="A6369" i="1"/>
  <c r="A6368" i="1"/>
  <c r="A6367" i="1"/>
  <c r="A6366" i="1"/>
  <c r="A6365" i="1"/>
  <c r="A6364" i="1"/>
  <c r="A6363" i="1"/>
  <c r="A6362" i="1"/>
  <c r="A6361" i="1"/>
  <c r="A6360" i="1"/>
  <c r="A6359" i="1"/>
  <c r="A6358" i="1"/>
  <c r="A6357" i="1"/>
  <c r="A6356" i="1"/>
  <c r="A6355" i="1"/>
  <c r="A6354" i="1"/>
  <c r="A6353" i="1"/>
  <c r="A6352" i="1"/>
  <c r="A6351" i="1"/>
  <c r="A6350" i="1"/>
  <c r="A6349" i="1"/>
  <c r="A6348" i="1"/>
  <c r="A6347" i="1"/>
  <c r="A6346" i="1"/>
  <c r="A6345" i="1"/>
  <c r="A6344" i="1"/>
  <c r="A6343" i="1"/>
  <c r="A6342" i="1"/>
  <c r="A6341" i="1"/>
  <c r="A6340" i="1"/>
  <c r="A6339" i="1"/>
  <c r="A6338" i="1"/>
  <c r="A6337" i="1"/>
  <c r="A6336" i="1"/>
  <c r="A6335" i="1"/>
  <c r="A6334" i="1"/>
  <c r="A6333" i="1"/>
  <c r="A6332" i="1"/>
  <c r="A6331" i="1"/>
  <c r="A6330" i="1"/>
  <c r="A6329" i="1"/>
  <c r="A6328" i="1"/>
  <c r="A6327" i="1"/>
  <c r="A6326" i="1"/>
  <c r="A6325" i="1"/>
  <c r="A6324" i="1"/>
  <c r="A6323" i="1"/>
  <c r="A6322" i="1"/>
  <c r="A6321" i="1"/>
  <c r="A6320" i="1"/>
  <c r="A6319" i="1"/>
  <c r="A6318" i="1"/>
  <c r="A6317" i="1"/>
  <c r="A6316" i="1"/>
  <c r="A6315" i="1"/>
  <c r="A6314" i="1"/>
  <c r="A6313" i="1"/>
  <c r="A6312" i="1"/>
  <c r="A6311" i="1"/>
  <c r="A6310" i="1"/>
  <c r="A6309" i="1"/>
  <c r="A6308" i="1"/>
  <c r="A6307" i="1"/>
  <c r="A6306" i="1"/>
  <c r="A6305" i="1"/>
  <c r="A6304" i="1"/>
  <c r="A6303" i="1"/>
  <c r="A6302" i="1"/>
  <c r="A6301" i="1"/>
  <c r="A6300" i="1"/>
  <c r="A6299" i="1"/>
  <c r="A6298" i="1"/>
  <c r="A6297" i="1"/>
  <c r="A6296" i="1"/>
  <c r="A6295" i="1"/>
  <c r="A6294" i="1"/>
  <c r="A6293" i="1"/>
  <c r="A6292" i="1"/>
  <c r="A6291" i="1"/>
  <c r="A6290" i="1"/>
  <c r="A6289" i="1"/>
  <c r="A6288" i="1"/>
  <c r="A6287" i="1"/>
  <c r="A6286" i="1"/>
  <c r="A6285" i="1"/>
  <c r="A6284" i="1"/>
  <c r="A6283" i="1"/>
  <c r="A6282" i="1"/>
  <c r="A6281" i="1"/>
  <c r="A6280" i="1"/>
  <c r="A6279" i="1"/>
  <c r="A6278" i="1"/>
  <c r="A6277" i="1"/>
  <c r="A6276" i="1"/>
  <c r="A6275" i="1"/>
  <c r="A6274" i="1"/>
  <c r="A6273" i="1"/>
  <c r="A6272" i="1"/>
  <c r="A6271" i="1"/>
  <c r="A6270" i="1"/>
  <c r="A6269" i="1"/>
  <c r="A6268" i="1"/>
  <c r="A6267" i="1"/>
  <c r="A6266" i="1"/>
  <c r="A6265" i="1"/>
  <c r="A6264" i="1"/>
  <c r="A6263" i="1"/>
  <c r="A6262" i="1"/>
  <c r="A6261" i="1"/>
  <c r="A6260" i="1"/>
  <c r="A6259" i="1"/>
  <c r="A6258" i="1"/>
  <c r="A6257" i="1"/>
  <c r="A6256" i="1"/>
  <c r="A6255" i="1"/>
  <c r="A6254" i="1"/>
  <c r="A6253" i="1"/>
  <c r="A6252" i="1"/>
  <c r="A6251" i="1"/>
  <c r="A6250" i="1"/>
  <c r="A6249" i="1"/>
  <c r="A6248" i="1"/>
  <c r="A6247" i="1"/>
  <c r="A6246" i="1"/>
  <c r="A6245" i="1"/>
  <c r="A6244" i="1"/>
  <c r="A6243" i="1"/>
  <c r="A6242" i="1"/>
  <c r="A6241" i="1"/>
  <c r="A6240" i="1"/>
  <c r="A6239" i="1"/>
  <c r="A6238" i="1"/>
  <c r="A6237" i="1"/>
  <c r="A6236" i="1"/>
  <c r="A6235" i="1"/>
  <c r="A6234" i="1"/>
  <c r="A6233" i="1"/>
  <c r="A6232" i="1"/>
  <c r="A6231" i="1"/>
  <c r="A6230" i="1"/>
  <c r="A6229" i="1"/>
  <c r="A6228" i="1"/>
  <c r="A6227" i="1"/>
  <c r="A6226" i="1"/>
  <c r="A6225" i="1"/>
  <c r="A6224" i="1"/>
  <c r="A6223" i="1"/>
  <c r="A6222" i="1"/>
  <c r="A6221" i="1"/>
  <c r="A6220" i="1"/>
  <c r="A6219" i="1"/>
  <c r="A6218" i="1"/>
  <c r="A6217" i="1"/>
  <c r="A6216" i="1"/>
  <c r="A6215" i="1"/>
  <c r="A6214" i="1"/>
  <c r="A6213" i="1"/>
  <c r="A6212" i="1"/>
  <c r="A6211" i="1"/>
  <c r="A6210" i="1"/>
  <c r="A6209" i="1"/>
  <c r="A6208" i="1"/>
  <c r="A6207" i="1"/>
  <c r="A6206" i="1"/>
  <c r="A6205" i="1"/>
  <c r="A6204" i="1"/>
  <c r="A6203" i="1"/>
  <c r="A6202" i="1"/>
  <c r="A6201" i="1"/>
  <c r="A6200" i="1"/>
  <c r="A6199" i="1"/>
  <c r="A6198" i="1"/>
  <c r="A6197" i="1"/>
  <c r="A6196" i="1"/>
  <c r="A6195" i="1"/>
  <c r="A6194" i="1"/>
  <c r="A6193" i="1"/>
  <c r="A6192" i="1"/>
  <c r="A6191" i="1"/>
  <c r="A6190" i="1"/>
  <c r="A6189" i="1"/>
  <c r="A6188" i="1"/>
  <c r="A6187" i="1"/>
  <c r="A6186" i="1"/>
  <c r="A6185" i="1"/>
  <c r="A6184" i="1"/>
  <c r="A6183" i="1"/>
  <c r="A6182" i="1"/>
  <c r="A6181" i="1"/>
  <c r="A6180" i="1"/>
  <c r="A6179" i="1"/>
  <c r="A6178" i="1"/>
  <c r="A6177" i="1"/>
  <c r="A6176" i="1"/>
  <c r="A6175" i="1"/>
  <c r="A6174" i="1"/>
  <c r="A6173" i="1"/>
  <c r="A6172" i="1"/>
  <c r="A6171" i="1"/>
  <c r="A6170" i="1"/>
  <c r="A6169" i="1"/>
  <c r="A6168" i="1"/>
  <c r="A6167" i="1"/>
  <c r="A6166" i="1"/>
  <c r="A6165" i="1"/>
  <c r="A6164" i="1"/>
  <c r="A6163" i="1"/>
  <c r="A6162" i="1"/>
  <c r="A6161" i="1"/>
  <c r="A6160" i="1"/>
  <c r="A6159" i="1"/>
  <c r="A6158" i="1"/>
  <c r="A6157" i="1"/>
  <c r="A6156" i="1"/>
  <c r="A6155" i="1"/>
  <c r="A6154" i="1"/>
  <c r="A6153" i="1"/>
  <c r="A6152" i="1"/>
  <c r="A6151" i="1"/>
  <c r="A6150" i="1"/>
  <c r="A6149" i="1"/>
  <c r="A6148" i="1"/>
  <c r="A6147" i="1"/>
  <c r="A6146" i="1"/>
  <c r="A6145" i="1"/>
  <c r="A6144" i="1"/>
  <c r="A6143" i="1"/>
  <c r="A6142" i="1"/>
  <c r="A6141" i="1"/>
  <c r="A6140" i="1"/>
  <c r="A6139" i="1"/>
  <c r="A6138" i="1"/>
  <c r="A6137" i="1"/>
  <c r="A6136" i="1"/>
  <c r="A6135" i="1"/>
  <c r="A6134" i="1"/>
  <c r="A6133" i="1"/>
  <c r="A6132" i="1"/>
  <c r="A6131" i="1"/>
  <c r="A6130" i="1"/>
  <c r="A6129" i="1"/>
  <c r="A6128" i="1"/>
  <c r="A6127" i="1"/>
  <c r="A6126" i="1"/>
  <c r="A6125" i="1"/>
  <c r="A6124" i="1"/>
  <c r="A6123" i="1"/>
  <c r="A6122" i="1"/>
  <c r="A6121" i="1"/>
  <c r="A6120" i="1"/>
  <c r="A6119" i="1"/>
  <c r="A6118" i="1"/>
  <c r="A6117" i="1"/>
  <c r="A6116" i="1"/>
  <c r="A6115" i="1"/>
  <c r="A6114" i="1"/>
  <c r="A6113" i="1"/>
  <c r="A6112" i="1"/>
  <c r="A6111" i="1"/>
  <c r="A6110" i="1"/>
  <c r="A6109" i="1"/>
  <c r="A6108" i="1"/>
  <c r="A6107" i="1"/>
  <c r="A6106" i="1"/>
  <c r="A6105" i="1"/>
  <c r="A6104" i="1"/>
  <c r="A6103" i="1"/>
  <c r="A6102" i="1"/>
  <c r="A6101" i="1"/>
  <c r="A6100" i="1"/>
  <c r="A6099" i="1"/>
  <c r="A6098" i="1"/>
  <c r="A6097" i="1"/>
  <c r="A6096" i="1"/>
  <c r="A6095" i="1"/>
  <c r="A6094" i="1"/>
  <c r="A6093" i="1"/>
  <c r="A6092" i="1"/>
  <c r="A6091" i="1"/>
  <c r="A6090" i="1"/>
  <c r="A6089" i="1"/>
  <c r="A6088" i="1"/>
  <c r="A6087" i="1"/>
  <c r="A6086" i="1"/>
  <c r="A6085" i="1"/>
  <c r="A6084" i="1"/>
  <c r="A6083" i="1"/>
  <c r="A6082" i="1"/>
  <c r="A6081" i="1"/>
  <c r="A6080" i="1"/>
  <c r="A6079" i="1"/>
  <c r="A6078" i="1"/>
  <c r="A6077" i="1"/>
  <c r="A6076" i="1"/>
  <c r="A6075" i="1"/>
  <c r="A6074" i="1"/>
  <c r="A6073" i="1"/>
  <c r="A6072" i="1"/>
  <c r="A6071" i="1"/>
  <c r="A6070" i="1"/>
  <c r="A6069" i="1"/>
  <c r="A6068" i="1"/>
  <c r="A6067" i="1"/>
  <c r="A6066" i="1"/>
  <c r="A6065" i="1"/>
  <c r="A6064" i="1"/>
  <c r="A6063" i="1"/>
  <c r="A6062" i="1"/>
  <c r="A6061" i="1"/>
  <c r="A6060" i="1"/>
  <c r="A6059" i="1"/>
  <c r="A6058" i="1"/>
  <c r="A6057" i="1"/>
  <c r="A6056" i="1"/>
  <c r="A6055" i="1"/>
  <c r="A6054" i="1"/>
  <c r="A6053" i="1"/>
  <c r="A6052" i="1"/>
  <c r="A6051" i="1"/>
  <c r="A6050" i="1"/>
  <c r="A6049" i="1"/>
  <c r="A6048" i="1"/>
  <c r="A6047" i="1"/>
  <c r="A6046" i="1"/>
  <c r="A6045" i="1"/>
  <c r="A6044" i="1"/>
  <c r="A6043" i="1"/>
  <c r="A6042" i="1"/>
  <c r="A6041" i="1"/>
  <c r="A6040" i="1"/>
  <c r="A6039" i="1"/>
  <c r="A6038" i="1"/>
  <c r="A6037" i="1"/>
  <c r="A6036" i="1"/>
  <c r="A6035" i="1"/>
  <c r="A6034" i="1"/>
  <c r="A6033" i="1"/>
  <c r="A6032" i="1"/>
  <c r="A6031" i="1"/>
  <c r="A6030" i="1"/>
  <c r="A6029" i="1"/>
  <c r="A6028" i="1"/>
  <c r="A6027" i="1"/>
  <c r="A6026" i="1"/>
  <c r="A6025" i="1"/>
  <c r="A6024" i="1"/>
  <c r="A6023" i="1"/>
  <c r="A6022" i="1"/>
  <c r="A6021" i="1"/>
  <c r="A6020" i="1"/>
  <c r="A6019" i="1"/>
  <c r="A6018" i="1"/>
  <c r="A6017" i="1"/>
  <c r="A6016" i="1"/>
  <c r="A6015" i="1"/>
  <c r="A6014" i="1"/>
  <c r="A6013" i="1"/>
  <c r="A6012" i="1"/>
  <c r="A6011" i="1"/>
  <c r="A6010" i="1"/>
  <c r="A6009" i="1"/>
  <c r="A6008" i="1"/>
  <c r="A6007" i="1"/>
  <c r="A6006" i="1"/>
  <c r="A6005" i="1"/>
  <c r="A6004" i="1"/>
  <c r="A6003" i="1"/>
  <c r="A6002" i="1"/>
  <c r="A6001" i="1"/>
  <c r="A6000" i="1"/>
  <c r="A5999" i="1"/>
  <c r="A5998" i="1"/>
  <c r="A5997" i="1"/>
  <c r="A5996" i="1"/>
  <c r="A5995" i="1"/>
  <c r="A5994" i="1"/>
  <c r="A5993" i="1"/>
  <c r="A5992" i="1"/>
  <c r="A5991" i="1"/>
  <c r="A5990" i="1"/>
  <c r="A5989" i="1"/>
  <c r="A5988" i="1"/>
  <c r="A5987" i="1"/>
  <c r="A5986" i="1"/>
  <c r="A5985" i="1"/>
  <c r="A5984" i="1"/>
  <c r="A5983" i="1"/>
  <c r="A5982" i="1"/>
  <c r="A5981" i="1"/>
  <c r="A5980" i="1"/>
  <c r="A5979" i="1"/>
  <c r="A5978" i="1"/>
  <c r="A5977" i="1"/>
  <c r="A5976" i="1"/>
  <c r="A5975" i="1"/>
  <c r="A5974" i="1"/>
  <c r="A5973" i="1"/>
  <c r="A5972" i="1"/>
  <c r="A5971" i="1"/>
  <c r="A5970" i="1"/>
  <c r="A5969" i="1"/>
  <c r="A5968" i="1"/>
  <c r="A5967" i="1"/>
  <c r="A5966" i="1"/>
  <c r="A5965" i="1"/>
  <c r="A5964" i="1"/>
  <c r="A5963" i="1"/>
  <c r="A5962" i="1"/>
  <c r="A5961" i="1"/>
  <c r="A5960" i="1"/>
  <c r="A5959" i="1"/>
  <c r="A5958" i="1"/>
  <c r="A5957" i="1"/>
  <c r="A5956" i="1"/>
  <c r="A5955" i="1"/>
  <c r="A5954" i="1"/>
  <c r="A5953" i="1"/>
  <c r="A5952" i="1"/>
  <c r="A5951" i="1"/>
  <c r="A5950" i="1"/>
  <c r="A5949" i="1"/>
  <c r="A5948" i="1"/>
  <c r="A5947" i="1"/>
  <c r="A5946" i="1"/>
  <c r="A5945" i="1"/>
  <c r="A5944" i="1"/>
  <c r="A5943" i="1"/>
  <c r="A5942" i="1"/>
  <c r="A5941" i="1"/>
  <c r="A5940" i="1"/>
  <c r="A5939" i="1"/>
  <c r="A5938" i="1"/>
  <c r="A5937" i="1"/>
  <c r="A5936" i="1"/>
  <c r="A5935" i="1"/>
  <c r="A5934" i="1"/>
  <c r="A5933" i="1"/>
  <c r="A5932" i="1"/>
  <c r="A5931" i="1"/>
  <c r="A5930" i="1"/>
  <c r="A5929" i="1"/>
  <c r="A5928" i="1"/>
  <c r="A5927" i="1"/>
  <c r="A5926" i="1"/>
  <c r="A5925" i="1"/>
  <c r="A5924" i="1"/>
  <c r="A5923" i="1"/>
  <c r="A5922" i="1"/>
  <c r="A5921" i="1"/>
  <c r="A5920" i="1"/>
  <c r="A5919" i="1"/>
  <c r="A5918" i="1"/>
  <c r="A5917" i="1"/>
  <c r="A5916" i="1"/>
  <c r="A5915" i="1"/>
  <c r="A5914" i="1"/>
  <c r="A5913" i="1"/>
  <c r="A5912" i="1"/>
  <c r="A5911" i="1"/>
  <c r="A5910" i="1"/>
  <c r="A5909" i="1"/>
  <c r="A5908" i="1"/>
  <c r="A5907" i="1"/>
  <c r="A5906" i="1"/>
  <c r="A5905" i="1"/>
  <c r="A5904" i="1"/>
  <c r="A5903" i="1"/>
  <c r="A5902" i="1"/>
  <c r="A5901" i="1"/>
  <c r="A5900" i="1"/>
  <c r="A5899" i="1"/>
  <c r="A5898" i="1"/>
  <c r="A5897" i="1"/>
  <c r="A5896" i="1"/>
  <c r="A5895" i="1"/>
  <c r="A5894" i="1"/>
  <c r="A5893" i="1"/>
  <c r="A5892" i="1"/>
  <c r="A5891" i="1"/>
  <c r="A5890" i="1"/>
  <c r="A5889" i="1"/>
  <c r="A5888" i="1"/>
  <c r="A5887" i="1"/>
  <c r="A5886" i="1"/>
  <c r="A5885" i="1"/>
  <c r="A5884" i="1"/>
  <c r="A5883" i="1"/>
  <c r="A5882" i="1"/>
  <c r="A5881" i="1"/>
  <c r="A5880" i="1"/>
  <c r="A5879" i="1"/>
  <c r="A5878" i="1"/>
  <c r="A5877" i="1"/>
  <c r="A5876" i="1"/>
  <c r="A5875" i="1"/>
  <c r="A5874" i="1"/>
  <c r="A5873" i="1"/>
  <c r="A5872" i="1"/>
  <c r="A5871" i="1"/>
  <c r="A5870" i="1"/>
  <c r="A5869" i="1"/>
  <c r="A5868" i="1"/>
  <c r="A5867" i="1"/>
  <c r="A5866" i="1"/>
  <c r="A5865" i="1"/>
  <c r="A5864" i="1"/>
  <c r="A5863" i="1"/>
  <c r="A5862" i="1"/>
  <c r="A5861" i="1"/>
  <c r="A5860" i="1"/>
  <c r="A5859" i="1"/>
  <c r="A5858" i="1"/>
  <c r="A5857" i="1"/>
  <c r="A5856" i="1"/>
  <c r="A5855" i="1"/>
  <c r="A5854" i="1"/>
  <c r="A5853" i="1"/>
  <c r="A5852" i="1"/>
  <c r="A5851" i="1"/>
  <c r="A5850" i="1"/>
  <c r="A5849" i="1"/>
  <c r="A5848" i="1"/>
  <c r="A5847" i="1"/>
  <c r="A5846" i="1"/>
  <c r="A5845" i="1"/>
  <c r="A5844" i="1"/>
  <c r="A5843" i="1"/>
  <c r="A5842" i="1"/>
  <c r="A5841" i="1"/>
  <c r="A5840" i="1"/>
  <c r="A5839" i="1"/>
  <c r="A5838" i="1"/>
  <c r="A5837" i="1"/>
  <c r="A5836" i="1"/>
  <c r="A5835" i="1"/>
  <c r="A5834" i="1"/>
  <c r="A5833" i="1"/>
  <c r="A5832" i="1"/>
  <c r="A5831" i="1"/>
  <c r="A5830" i="1"/>
  <c r="A5829" i="1"/>
  <c r="A5828" i="1"/>
  <c r="A5827" i="1"/>
  <c r="A5826" i="1"/>
  <c r="A5825" i="1"/>
  <c r="A5824" i="1"/>
  <c r="A5823" i="1"/>
  <c r="A5822" i="1"/>
  <c r="A5821" i="1"/>
  <c r="A5820" i="1"/>
  <c r="A5819" i="1"/>
  <c r="A5818" i="1"/>
  <c r="A5817" i="1"/>
  <c r="A5816" i="1"/>
  <c r="A5815" i="1"/>
  <c r="A5814" i="1"/>
  <c r="A5813" i="1"/>
  <c r="A5812" i="1"/>
  <c r="A5811" i="1"/>
  <c r="A5810" i="1"/>
  <c r="A5809" i="1"/>
  <c r="A5808" i="1"/>
  <c r="A5807" i="1"/>
  <c r="A5806" i="1"/>
  <c r="A5805" i="1"/>
  <c r="A5804" i="1"/>
  <c r="A5803" i="1"/>
  <c r="A5802" i="1"/>
  <c r="A5801" i="1"/>
  <c r="A5800" i="1"/>
  <c r="A5799" i="1"/>
  <c r="A5798" i="1"/>
  <c r="A5797" i="1"/>
  <c r="A5796" i="1"/>
  <c r="A5795" i="1"/>
  <c r="A5794" i="1"/>
  <c r="A5793" i="1"/>
  <c r="A5792" i="1"/>
  <c r="A5791" i="1"/>
  <c r="A5790" i="1"/>
  <c r="A5789" i="1"/>
  <c r="A5788" i="1"/>
  <c r="A5787" i="1"/>
  <c r="A5786" i="1"/>
  <c r="A5785" i="1"/>
  <c r="A5784" i="1"/>
  <c r="A5783" i="1"/>
  <c r="A5782" i="1"/>
  <c r="A5781" i="1"/>
  <c r="A5780" i="1"/>
  <c r="A5779" i="1"/>
  <c r="A5778" i="1"/>
  <c r="A5777" i="1"/>
  <c r="A5776" i="1"/>
  <c r="A5775" i="1"/>
  <c r="A5774" i="1"/>
  <c r="A5773" i="1"/>
  <c r="A5772" i="1"/>
  <c r="A5771" i="1"/>
  <c r="A5770" i="1"/>
  <c r="A5769" i="1"/>
  <c r="A5768" i="1"/>
  <c r="A5767" i="1"/>
  <c r="A5766" i="1"/>
  <c r="A5765" i="1"/>
  <c r="A5764" i="1"/>
  <c r="A5763" i="1"/>
  <c r="A5762" i="1"/>
  <c r="A5761" i="1"/>
  <c r="A5760" i="1"/>
  <c r="A5759" i="1"/>
  <c r="A5758" i="1"/>
  <c r="A5757" i="1"/>
  <c r="A5756" i="1"/>
  <c r="A5755" i="1"/>
  <c r="A5754" i="1"/>
  <c r="A5753" i="1"/>
  <c r="A5752" i="1"/>
  <c r="A5751" i="1"/>
  <c r="A5750" i="1"/>
  <c r="A5749" i="1"/>
  <c r="A5748" i="1"/>
  <c r="A5747" i="1"/>
  <c r="A5746" i="1"/>
  <c r="A5745" i="1"/>
  <c r="A5744" i="1"/>
  <c r="A5743" i="1"/>
  <c r="A5742" i="1"/>
  <c r="A5741" i="1"/>
  <c r="A5740" i="1"/>
  <c r="A5739" i="1"/>
  <c r="A5738" i="1"/>
  <c r="A5737" i="1"/>
  <c r="A5736" i="1"/>
  <c r="A5735" i="1"/>
  <c r="A5734" i="1"/>
  <c r="A5733" i="1"/>
  <c r="A5732" i="1"/>
  <c r="A5731" i="1"/>
  <c r="A5730" i="1"/>
  <c r="A5729" i="1"/>
  <c r="A5728" i="1"/>
  <c r="A5727" i="1"/>
  <c r="A5726" i="1"/>
  <c r="A5725" i="1"/>
  <c r="A5724" i="1"/>
  <c r="A5723" i="1"/>
  <c r="A5722" i="1"/>
  <c r="A5721" i="1"/>
  <c r="A5720" i="1"/>
  <c r="A5719" i="1"/>
  <c r="A5718" i="1"/>
  <c r="A5717" i="1"/>
  <c r="A5716" i="1"/>
  <c r="A5715" i="1"/>
  <c r="A5714" i="1"/>
  <c r="A5713" i="1"/>
  <c r="A5712" i="1"/>
  <c r="A5711" i="1"/>
  <c r="A5710" i="1"/>
  <c r="A5709" i="1"/>
  <c r="A5708" i="1"/>
  <c r="A5707" i="1"/>
  <c r="A5706" i="1"/>
  <c r="A5705" i="1"/>
  <c r="A5704" i="1"/>
  <c r="A5703" i="1"/>
  <c r="A5702" i="1"/>
  <c r="A5701" i="1"/>
  <c r="A5700" i="1"/>
  <c r="A5699" i="1"/>
  <c r="A5698" i="1"/>
  <c r="A5697" i="1"/>
  <c r="A5696" i="1"/>
  <c r="A5695" i="1"/>
  <c r="A5694" i="1"/>
  <c r="A5693" i="1"/>
  <c r="A5692" i="1"/>
  <c r="A5691" i="1"/>
  <c r="A5690" i="1"/>
  <c r="A5689" i="1"/>
  <c r="A5688" i="1"/>
  <c r="A5687" i="1"/>
  <c r="A5686" i="1"/>
  <c r="A5685" i="1"/>
  <c r="A5684" i="1"/>
  <c r="A5683" i="1"/>
  <c r="A5682" i="1"/>
  <c r="A5681" i="1"/>
  <c r="A5680" i="1"/>
  <c r="A5679" i="1"/>
  <c r="A5678" i="1"/>
  <c r="A5677" i="1"/>
  <c r="A5676" i="1"/>
  <c r="A5675" i="1"/>
  <c r="A5674" i="1"/>
  <c r="A5673" i="1"/>
  <c r="A5672" i="1"/>
  <c r="A5671" i="1"/>
  <c r="A5670" i="1"/>
  <c r="A5669" i="1"/>
  <c r="A5668" i="1"/>
  <c r="A5667" i="1"/>
  <c r="A5666" i="1"/>
  <c r="A5665" i="1"/>
  <c r="A5664" i="1"/>
  <c r="A5663" i="1"/>
  <c r="A5662" i="1"/>
  <c r="A5661" i="1"/>
  <c r="A5660" i="1"/>
  <c r="A5659" i="1"/>
  <c r="A5658" i="1"/>
  <c r="A5657" i="1"/>
  <c r="A5656" i="1"/>
  <c r="A5655" i="1"/>
  <c r="A5654" i="1"/>
  <c r="A5653" i="1"/>
  <c r="A5652" i="1"/>
  <c r="A5651" i="1"/>
  <c r="A5650" i="1"/>
  <c r="A5649" i="1"/>
  <c r="A5648" i="1"/>
  <c r="A5647" i="1"/>
  <c r="A5646" i="1"/>
  <c r="A5645" i="1"/>
  <c r="A5644" i="1"/>
  <c r="A5643" i="1"/>
  <c r="A5642" i="1"/>
  <c r="A5641" i="1"/>
  <c r="A5640" i="1"/>
  <c r="A5639" i="1"/>
  <c r="A5638" i="1"/>
  <c r="A5637" i="1"/>
  <c r="A5636" i="1"/>
  <c r="A5635" i="1"/>
  <c r="A5634" i="1"/>
  <c r="A5633" i="1"/>
  <c r="A5632" i="1"/>
  <c r="A5631" i="1"/>
  <c r="A5630" i="1"/>
  <c r="A5629" i="1"/>
  <c r="A5628" i="1"/>
  <c r="A5627" i="1"/>
  <c r="A5626" i="1"/>
  <c r="A5625" i="1"/>
  <c r="A5624" i="1"/>
  <c r="A5623" i="1"/>
  <c r="A5622" i="1"/>
  <c r="A5621" i="1"/>
  <c r="A5620" i="1"/>
  <c r="A5619" i="1"/>
  <c r="A5618" i="1"/>
  <c r="A5617" i="1"/>
  <c r="A5616" i="1"/>
  <c r="A5615" i="1"/>
  <c r="A5614" i="1"/>
  <c r="A5613" i="1"/>
  <c r="A5612" i="1"/>
  <c r="A5611" i="1"/>
  <c r="A5610" i="1"/>
  <c r="A5609" i="1"/>
  <c r="A5608" i="1"/>
  <c r="A5607" i="1"/>
  <c r="A5606" i="1"/>
  <c r="A5605" i="1"/>
  <c r="A5604" i="1"/>
  <c r="A5603" i="1"/>
  <c r="A5602" i="1"/>
  <c r="A5601" i="1"/>
  <c r="A5600" i="1"/>
  <c r="A5599" i="1"/>
  <c r="A5598" i="1"/>
  <c r="A5597" i="1"/>
  <c r="A5596" i="1"/>
  <c r="A5595" i="1"/>
  <c r="A5594" i="1"/>
  <c r="A5593" i="1"/>
  <c r="A5592" i="1"/>
  <c r="A5591" i="1"/>
  <c r="A5590" i="1"/>
  <c r="A5589" i="1"/>
  <c r="A5588" i="1"/>
  <c r="A5587" i="1"/>
  <c r="A5586" i="1"/>
  <c r="A5585" i="1"/>
  <c r="A5584" i="1"/>
  <c r="A5583" i="1"/>
  <c r="A5582" i="1"/>
  <c r="A5581" i="1"/>
  <c r="A5580" i="1"/>
  <c r="A5579" i="1"/>
  <c r="A5578" i="1"/>
  <c r="A5577" i="1"/>
  <c r="A5576" i="1"/>
  <c r="A5575" i="1"/>
  <c r="A5574" i="1"/>
  <c r="A5573" i="1"/>
  <c r="A5572" i="1"/>
  <c r="A5571" i="1"/>
  <c r="A5570" i="1"/>
  <c r="A5569" i="1"/>
  <c r="A5568" i="1"/>
  <c r="A5567" i="1"/>
  <c r="A5566" i="1"/>
  <c r="A5565" i="1"/>
  <c r="A5564" i="1"/>
  <c r="A5563" i="1"/>
  <c r="A5562" i="1"/>
  <c r="A5561" i="1"/>
  <c r="A5560" i="1"/>
  <c r="A5559" i="1"/>
  <c r="A5558" i="1"/>
  <c r="A5557" i="1"/>
  <c r="A5556" i="1"/>
  <c r="A5555" i="1"/>
  <c r="A5554" i="1"/>
  <c r="A5553" i="1"/>
  <c r="A5552" i="1"/>
  <c r="A5551" i="1"/>
  <c r="A5550" i="1"/>
  <c r="A5549" i="1"/>
  <c r="A5548" i="1"/>
  <c r="A5547" i="1"/>
  <c r="A5546" i="1"/>
  <c r="A5545" i="1"/>
  <c r="A5544" i="1"/>
  <c r="A5543" i="1"/>
  <c r="A5542" i="1"/>
  <c r="A5541" i="1"/>
  <c r="A5540" i="1"/>
  <c r="A5539" i="1"/>
  <c r="A5538" i="1"/>
  <c r="A5537" i="1"/>
  <c r="A5536" i="1"/>
  <c r="A5535" i="1"/>
  <c r="A5534" i="1"/>
  <c r="A5533" i="1"/>
  <c r="A5532" i="1"/>
  <c r="A5531" i="1"/>
  <c r="A5530" i="1"/>
  <c r="A5529" i="1"/>
  <c r="A5528" i="1"/>
  <c r="A5527" i="1"/>
  <c r="A5526" i="1"/>
  <c r="A5525" i="1"/>
  <c r="A5524" i="1"/>
  <c r="A5523" i="1"/>
  <c r="A5522" i="1"/>
  <c r="A5521" i="1"/>
  <c r="A5520" i="1"/>
  <c r="A5519" i="1"/>
  <c r="A5518" i="1"/>
  <c r="A5517" i="1"/>
  <c r="A5516" i="1"/>
  <c r="A5515" i="1"/>
  <c r="A5514" i="1"/>
  <c r="A5513" i="1"/>
  <c r="A5512" i="1"/>
  <c r="A5511" i="1"/>
  <c r="A5510" i="1"/>
  <c r="A5509" i="1"/>
  <c r="A5508" i="1"/>
  <c r="A5507" i="1"/>
  <c r="A5506" i="1"/>
  <c r="A5505" i="1"/>
  <c r="A5504" i="1"/>
  <c r="A5503" i="1"/>
  <c r="A5502" i="1"/>
  <c r="A5501" i="1"/>
  <c r="A5500" i="1"/>
  <c r="A5499" i="1"/>
  <c r="A5498" i="1"/>
  <c r="A5497" i="1"/>
  <c r="A5496" i="1"/>
  <c r="A5495" i="1"/>
  <c r="A5494" i="1"/>
  <c r="A5493" i="1"/>
  <c r="A5492" i="1"/>
  <c r="A5491" i="1"/>
  <c r="A5490" i="1"/>
  <c r="A5489" i="1"/>
  <c r="A5488" i="1"/>
  <c r="A5487" i="1"/>
  <c r="A5486" i="1"/>
  <c r="A5485" i="1"/>
  <c r="A5484" i="1"/>
  <c r="A5483" i="1"/>
  <c r="A5482" i="1"/>
  <c r="A5481" i="1"/>
  <c r="A5480" i="1"/>
  <c r="A5479" i="1"/>
  <c r="A5478" i="1"/>
  <c r="A5477" i="1"/>
  <c r="A5476" i="1"/>
  <c r="A5475" i="1"/>
  <c r="A5474" i="1"/>
  <c r="A5473" i="1"/>
  <c r="A5472" i="1"/>
  <c r="A5471" i="1"/>
  <c r="A5470" i="1"/>
  <c r="A5469" i="1"/>
  <c r="A5468" i="1"/>
  <c r="A5467" i="1"/>
  <c r="A5466" i="1"/>
  <c r="A5465" i="1"/>
  <c r="A5464" i="1"/>
  <c r="A5463" i="1"/>
  <c r="A5462" i="1"/>
  <c r="A5461" i="1"/>
  <c r="A5460" i="1"/>
  <c r="A5459" i="1"/>
  <c r="A5458" i="1"/>
  <c r="A5457" i="1"/>
  <c r="A5456" i="1"/>
  <c r="A5455" i="1"/>
  <c r="A5454" i="1"/>
  <c r="A5453" i="1"/>
  <c r="A5452" i="1"/>
  <c r="A5451" i="1"/>
  <c r="A5450" i="1"/>
  <c r="A5449" i="1"/>
  <c r="A5448" i="1"/>
  <c r="A5447" i="1"/>
  <c r="A5446" i="1"/>
  <c r="A5445" i="1"/>
  <c r="A5444" i="1"/>
  <c r="A5443" i="1"/>
  <c r="A5442" i="1"/>
  <c r="A5441" i="1"/>
  <c r="A5440" i="1"/>
  <c r="A5439" i="1"/>
  <c r="A5438" i="1"/>
  <c r="A5437" i="1"/>
  <c r="A5436" i="1"/>
  <c r="A5435" i="1"/>
  <c r="A5434" i="1"/>
  <c r="A5433" i="1"/>
  <c r="A5432" i="1"/>
  <c r="A5431" i="1"/>
  <c r="A5430" i="1"/>
  <c r="A5429" i="1"/>
  <c r="A5428" i="1"/>
  <c r="A5427" i="1"/>
  <c r="A5426" i="1"/>
  <c r="A5425" i="1"/>
  <c r="A5424" i="1"/>
  <c r="A5423" i="1"/>
  <c r="A5422" i="1"/>
  <c r="A5421" i="1"/>
  <c r="A5420" i="1"/>
  <c r="A5419" i="1"/>
  <c r="A5418" i="1"/>
  <c r="A5417" i="1"/>
  <c r="A5416" i="1"/>
  <c r="A5415" i="1"/>
  <c r="A5414" i="1"/>
  <c r="A5413" i="1"/>
  <c r="A5412" i="1"/>
  <c r="A5411" i="1"/>
  <c r="A5410" i="1"/>
  <c r="A5409" i="1"/>
  <c r="A5408" i="1"/>
  <c r="A5407" i="1"/>
  <c r="A5406" i="1"/>
  <c r="A5405" i="1"/>
  <c r="A5404" i="1"/>
  <c r="A5403" i="1"/>
  <c r="A5402" i="1"/>
  <c r="A5401" i="1"/>
  <c r="A5400" i="1"/>
  <c r="A5399" i="1"/>
  <c r="A5398" i="1"/>
  <c r="A5397" i="1"/>
  <c r="A5396" i="1"/>
  <c r="A5395" i="1"/>
  <c r="A5394" i="1"/>
  <c r="A5393" i="1"/>
  <c r="A5392" i="1"/>
  <c r="A5391" i="1"/>
  <c r="A5390" i="1"/>
  <c r="A5389" i="1"/>
  <c r="A5388" i="1"/>
  <c r="A5387" i="1"/>
  <c r="A5386" i="1"/>
  <c r="A5385" i="1"/>
  <c r="A5384" i="1"/>
  <c r="A5383" i="1"/>
  <c r="A5382" i="1"/>
  <c r="A5381" i="1"/>
  <c r="A5380" i="1"/>
  <c r="A5379" i="1"/>
  <c r="A5378" i="1"/>
  <c r="A5377" i="1"/>
  <c r="A5376" i="1"/>
  <c r="A5375" i="1"/>
  <c r="A5374" i="1"/>
  <c r="A5373" i="1"/>
  <c r="A5372" i="1"/>
  <c r="A5371" i="1"/>
  <c r="A5370" i="1"/>
  <c r="A5369" i="1"/>
  <c r="A5368" i="1"/>
  <c r="A5367" i="1"/>
  <c r="A5366" i="1"/>
  <c r="A5365" i="1"/>
  <c r="A5364" i="1"/>
  <c r="A5363" i="1"/>
  <c r="A5362" i="1"/>
  <c r="A5361" i="1"/>
  <c r="A5360" i="1"/>
  <c r="A5359" i="1"/>
  <c r="A5358" i="1"/>
  <c r="A5357" i="1"/>
  <c r="A5356" i="1"/>
  <c r="A5355" i="1"/>
  <c r="A5354" i="1"/>
  <c r="A5353" i="1"/>
  <c r="A5352" i="1"/>
  <c r="A5351" i="1"/>
  <c r="A5350" i="1"/>
  <c r="A5349" i="1"/>
  <c r="A5348" i="1"/>
  <c r="A5347" i="1"/>
  <c r="A5346" i="1"/>
  <c r="A5345" i="1"/>
  <c r="A5344" i="1"/>
  <c r="A5343" i="1"/>
  <c r="A5342" i="1"/>
  <c r="A5341" i="1"/>
  <c r="A5340" i="1"/>
  <c r="A5339" i="1"/>
  <c r="A5338" i="1"/>
  <c r="A5337" i="1"/>
  <c r="A5336" i="1"/>
  <c r="A5335" i="1"/>
  <c r="A5334" i="1"/>
  <c r="A5333" i="1"/>
  <c r="A5332" i="1"/>
  <c r="A5331" i="1"/>
  <c r="A5330" i="1"/>
  <c r="A5329" i="1"/>
  <c r="A5328" i="1"/>
  <c r="A5327" i="1"/>
  <c r="A5326" i="1"/>
  <c r="A5325" i="1"/>
  <c r="A5324" i="1"/>
  <c r="A5323" i="1"/>
  <c r="A5322" i="1"/>
  <c r="A5321" i="1"/>
  <c r="A5320" i="1"/>
  <c r="A5319" i="1"/>
  <c r="A5318" i="1"/>
  <c r="A5317" i="1"/>
  <c r="A5316" i="1"/>
  <c r="A5315" i="1"/>
  <c r="A5314" i="1"/>
  <c r="A5313" i="1"/>
  <c r="A5312" i="1"/>
  <c r="A5311" i="1"/>
  <c r="A5310" i="1"/>
  <c r="A5309" i="1"/>
  <c r="A5308" i="1"/>
  <c r="A5307" i="1"/>
  <c r="A5306" i="1"/>
  <c r="A5305" i="1"/>
  <c r="A5304" i="1"/>
  <c r="A5303" i="1"/>
  <c r="A5302" i="1"/>
  <c r="A5301" i="1"/>
  <c r="A5300" i="1"/>
  <c r="A5299" i="1"/>
  <c r="A5298" i="1"/>
  <c r="A5297" i="1"/>
  <c r="A5296" i="1"/>
  <c r="A5295" i="1"/>
  <c r="A5294" i="1"/>
  <c r="A5293" i="1"/>
  <c r="A5292" i="1"/>
  <c r="A5291" i="1"/>
  <c r="A5290" i="1"/>
  <c r="A5289" i="1"/>
  <c r="A5288" i="1"/>
  <c r="A5287" i="1"/>
  <c r="A5286" i="1"/>
  <c r="A5285" i="1"/>
  <c r="A5284" i="1"/>
  <c r="A5283" i="1"/>
  <c r="A5282" i="1"/>
  <c r="A5281" i="1"/>
  <c r="A5280" i="1"/>
  <c r="A5279" i="1"/>
  <c r="A5278" i="1"/>
  <c r="A5277" i="1"/>
  <c r="A5276" i="1"/>
  <c r="A5275" i="1"/>
  <c r="A5274" i="1"/>
  <c r="A5273" i="1"/>
  <c r="A5272" i="1"/>
  <c r="A5271" i="1"/>
  <c r="A5270" i="1"/>
  <c r="A5269" i="1"/>
  <c r="A5268" i="1"/>
  <c r="A5267" i="1"/>
  <c r="A5266" i="1"/>
  <c r="A5265" i="1"/>
  <c r="A5264" i="1"/>
  <c r="A5263" i="1"/>
  <c r="A5262" i="1"/>
  <c r="A5261" i="1"/>
  <c r="A5260" i="1"/>
  <c r="A5259" i="1"/>
  <c r="A5258" i="1"/>
  <c r="A5257" i="1"/>
  <c r="A5256" i="1"/>
  <c r="A5255" i="1"/>
  <c r="A5254" i="1"/>
  <c r="A5253" i="1"/>
  <c r="A5252" i="1"/>
  <c r="A5251" i="1"/>
  <c r="A5250" i="1"/>
  <c r="A5249" i="1"/>
  <c r="A5248" i="1"/>
  <c r="A5247" i="1"/>
  <c r="A5246" i="1"/>
  <c r="A5245" i="1"/>
  <c r="A5244" i="1"/>
  <c r="A5243" i="1"/>
  <c r="A5242" i="1"/>
  <c r="A5241" i="1"/>
  <c r="A5240" i="1"/>
  <c r="A5239" i="1"/>
  <c r="A5238" i="1"/>
  <c r="A5237" i="1"/>
  <c r="A5236" i="1"/>
  <c r="A5235" i="1"/>
  <c r="A5234" i="1"/>
  <c r="A5233" i="1"/>
  <c r="A5232" i="1"/>
  <c r="A5231" i="1"/>
  <c r="A5230" i="1"/>
  <c r="A5229" i="1"/>
  <c r="A5228" i="1"/>
  <c r="A5227" i="1"/>
  <c r="A5226" i="1"/>
  <c r="A5225" i="1"/>
  <c r="A5224" i="1"/>
  <c r="A5223" i="1"/>
  <c r="A5222" i="1"/>
  <c r="A5221" i="1"/>
  <c r="A5220" i="1"/>
  <c r="A5219" i="1"/>
  <c r="A5218" i="1"/>
  <c r="A5217" i="1"/>
  <c r="A5216" i="1"/>
  <c r="A5215" i="1"/>
  <c r="A5214" i="1"/>
  <c r="A5213" i="1"/>
  <c r="A5212" i="1"/>
  <c r="A5211" i="1"/>
  <c r="A5210" i="1"/>
  <c r="A5209" i="1"/>
  <c r="A5208" i="1"/>
  <c r="A5207" i="1"/>
  <c r="A5206" i="1"/>
  <c r="A5205" i="1"/>
  <c r="A5204" i="1"/>
  <c r="A5203" i="1"/>
  <c r="A5202" i="1"/>
  <c r="A5201" i="1"/>
  <c r="A5200" i="1"/>
  <c r="A5199" i="1"/>
  <c r="A5198" i="1"/>
  <c r="A5197" i="1"/>
  <c r="A5196" i="1"/>
  <c r="A5195" i="1"/>
  <c r="A5194" i="1"/>
  <c r="A5193" i="1"/>
  <c r="A5192" i="1"/>
  <c r="A5191" i="1"/>
  <c r="A5190" i="1"/>
  <c r="A5189" i="1"/>
  <c r="A5188" i="1"/>
  <c r="A5187" i="1"/>
  <c r="A5186" i="1"/>
  <c r="A5185" i="1"/>
  <c r="A5184" i="1"/>
  <c r="A5183" i="1"/>
  <c r="A5182" i="1"/>
  <c r="A5181" i="1"/>
  <c r="A5180" i="1"/>
  <c r="A5179" i="1"/>
  <c r="A5178" i="1"/>
  <c r="A5177" i="1"/>
  <c r="A5176" i="1"/>
  <c r="A5175" i="1"/>
  <c r="A5174" i="1"/>
  <c r="A5173" i="1"/>
  <c r="A5172" i="1"/>
  <c r="A5171" i="1"/>
  <c r="A5170" i="1"/>
  <c r="A5169" i="1"/>
  <c r="A5168" i="1"/>
  <c r="A5167" i="1"/>
  <c r="A5166" i="1"/>
  <c r="A5165" i="1"/>
  <c r="A5164" i="1"/>
  <c r="A5163" i="1"/>
  <c r="A5162" i="1"/>
  <c r="A5161" i="1"/>
  <c r="A5160" i="1"/>
  <c r="A5159" i="1"/>
  <c r="A5158" i="1"/>
  <c r="A5157" i="1"/>
  <c r="A5156" i="1"/>
  <c r="A5155" i="1"/>
  <c r="A5154" i="1"/>
  <c r="A5153" i="1"/>
  <c r="A5152" i="1"/>
  <c r="A5151" i="1"/>
  <c r="A5150" i="1"/>
  <c r="A5149" i="1"/>
  <c r="A5148" i="1"/>
  <c r="A5147" i="1"/>
  <c r="A5146" i="1"/>
  <c r="A5145" i="1"/>
  <c r="A5144" i="1"/>
  <c r="A5143" i="1"/>
  <c r="A5142" i="1"/>
  <c r="A5141" i="1"/>
  <c r="A5140" i="1"/>
  <c r="A5139" i="1"/>
  <c r="A5138" i="1"/>
  <c r="A5137" i="1"/>
  <c r="A5136" i="1"/>
  <c r="A5135" i="1"/>
  <c r="A5134" i="1"/>
  <c r="A5133" i="1"/>
  <c r="A5132" i="1"/>
  <c r="A5131" i="1"/>
  <c r="A5130" i="1"/>
  <c r="A5129" i="1"/>
  <c r="A5128" i="1"/>
  <c r="A5127" i="1"/>
  <c r="A5126" i="1"/>
  <c r="A5125" i="1"/>
  <c r="A5124" i="1"/>
  <c r="A5123" i="1"/>
  <c r="A5122" i="1"/>
  <c r="A5121" i="1"/>
  <c r="A5120" i="1"/>
  <c r="A5119" i="1"/>
  <c r="A5118" i="1"/>
  <c r="A5117" i="1"/>
  <c r="A5116" i="1"/>
  <c r="A5115" i="1"/>
  <c r="A5114" i="1"/>
  <c r="A5113" i="1"/>
  <c r="A5112" i="1"/>
  <c r="A5111" i="1"/>
  <c r="A5110" i="1"/>
  <c r="A5109" i="1"/>
  <c r="A5108" i="1"/>
  <c r="A5107" i="1"/>
  <c r="A5106" i="1"/>
  <c r="A5105" i="1"/>
  <c r="A5104" i="1"/>
  <c r="A5103" i="1"/>
  <c r="A5102" i="1"/>
  <c r="A5101" i="1"/>
  <c r="A5100" i="1"/>
  <c r="A5099" i="1"/>
  <c r="A5098" i="1"/>
  <c r="A5097" i="1"/>
  <c r="A5096" i="1"/>
  <c r="A5095" i="1"/>
  <c r="A5094" i="1"/>
  <c r="A5093" i="1"/>
  <c r="A5092" i="1"/>
  <c r="A5091" i="1"/>
  <c r="A5090" i="1"/>
  <c r="A5089" i="1"/>
  <c r="A5088" i="1"/>
  <c r="A5087" i="1"/>
  <c r="A5086" i="1"/>
  <c r="A5085" i="1"/>
  <c r="A5084" i="1"/>
  <c r="A5083" i="1"/>
  <c r="A5082" i="1"/>
  <c r="A5081" i="1"/>
  <c r="A5080" i="1"/>
  <c r="A5079" i="1"/>
  <c r="A5078" i="1"/>
  <c r="A5077" i="1"/>
  <c r="A5076" i="1"/>
  <c r="A5075" i="1"/>
  <c r="A5074" i="1"/>
  <c r="A5073" i="1"/>
  <c r="A5072" i="1"/>
  <c r="A5071" i="1"/>
  <c r="A5070" i="1"/>
  <c r="A5069" i="1"/>
  <c r="A5068" i="1"/>
  <c r="A5067" i="1"/>
  <c r="A5066" i="1"/>
  <c r="A5065" i="1"/>
  <c r="A5064" i="1"/>
  <c r="A5063" i="1"/>
  <c r="A5062" i="1"/>
  <c r="A5061" i="1"/>
  <c r="A5060" i="1"/>
  <c r="A5059" i="1"/>
  <c r="A5058" i="1"/>
  <c r="A5057" i="1"/>
  <c r="A5056" i="1"/>
  <c r="A5055" i="1"/>
  <c r="A5054" i="1"/>
  <c r="A5053" i="1"/>
  <c r="A5052" i="1"/>
  <c r="A5051" i="1"/>
  <c r="A5050" i="1"/>
  <c r="A5049" i="1"/>
  <c r="A5048" i="1"/>
  <c r="A5047" i="1"/>
  <c r="A5046" i="1"/>
  <c r="A5045" i="1"/>
  <c r="A5044" i="1"/>
  <c r="A5043" i="1"/>
  <c r="A5042" i="1"/>
  <c r="A5041" i="1"/>
  <c r="A5040" i="1"/>
  <c r="A5039" i="1"/>
  <c r="A5038" i="1"/>
  <c r="A5037" i="1"/>
  <c r="A5036" i="1"/>
  <c r="A5035" i="1"/>
  <c r="A5034" i="1"/>
  <c r="A5033" i="1"/>
  <c r="A5032" i="1"/>
  <c r="A5031" i="1"/>
  <c r="A5030" i="1"/>
  <c r="A5029" i="1"/>
  <c r="A5028" i="1"/>
  <c r="A5027" i="1"/>
  <c r="A5026" i="1"/>
  <c r="A5025" i="1"/>
  <c r="A5024" i="1"/>
  <c r="A5023" i="1"/>
  <c r="A5022" i="1"/>
  <c r="A5021" i="1"/>
  <c r="A5020" i="1"/>
  <c r="A5019" i="1"/>
  <c r="A5018" i="1"/>
  <c r="A5017" i="1"/>
  <c r="A5016" i="1"/>
  <c r="A5015" i="1"/>
  <c r="A5014" i="1"/>
  <c r="A5013" i="1"/>
  <c r="A5012" i="1"/>
  <c r="A5011" i="1"/>
  <c r="A5010" i="1"/>
  <c r="A5009" i="1"/>
  <c r="A5008" i="1"/>
  <c r="A5007" i="1"/>
  <c r="A5006" i="1"/>
  <c r="A5005" i="1"/>
  <c r="A5004" i="1"/>
  <c r="A5003" i="1"/>
  <c r="A5002" i="1"/>
  <c r="A5001" i="1"/>
  <c r="A5000" i="1"/>
  <c r="A4999" i="1"/>
  <c r="A4998" i="1"/>
  <c r="A4997" i="1"/>
  <c r="A4996" i="1"/>
  <c r="A4995" i="1"/>
  <c r="A4994" i="1"/>
  <c r="A4993" i="1"/>
  <c r="A4992" i="1"/>
  <c r="A4991" i="1"/>
  <c r="A4990" i="1"/>
  <c r="A4989" i="1"/>
  <c r="A4988" i="1"/>
  <c r="A4987" i="1"/>
  <c r="A4986" i="1"/>
  <c r="A4985" i="1"/>
  <c r="A4984" i="1"/>
  <c r="A4983" i="1"/>
  <c r="A4982" i="1"/>
  <c r="A4981" i="1"/>
  <c r="A4980" i="1"/>
  <c r="A4979" i="1"/>
  <c r="A4978" i="1"/>
  <c r="A4977" i="1"/>
  <c r="A4976" i="1"/>
  <c r="A4975" i="1"/>
  <c r="A4974" i="1"/>
  <c r="A4973" i="1"/>
  <c r="A4972" i="1"/>
  <c r="A4971" i="1"/>
  <c r="A4970" i="1"/>
  <c r="A4969" i="1"/>
  <c r="A4968" i="1"/>
  <c r="A4967" i="1"/>
  <c r="A4966" i="1"/>
  <c r="A4965" i="1"/>
  <c r="A4964" i="1"/>
  <c r="A4963" i="1"/>
  <c r="A4962" i="1"/>
  <c r="A4961" i="1"/>
  <c r="A4960" i="1"/>
  <c r="A4959" i="1"/>
  <c r="A4958" i="1"/>
  <c r="A4957" i="1"/>
  <c r="A4956" i="1"/>
  <c r="A4955" i="1"/>
  <c r="A4954" i="1"/>
  <c r="A4953" i="1"/>
  <c r="A4952" i="1"/>
  <c r="A4951" i="1"/>
  <c r="A4950" i="1"/>
  <c r="A4949" i="1"/>
  <c r="A4948" i="1"/>
  <c r="A4947" i="1"/>
  <c r="A4946" i="1"/>
  <c r="A4945" i="1"/>
  <c r="A4944" i="1"/>
  <c r="A4943" i="1"/>
  <c r="A4942" i="1"/>
  <c r="A4941" i="1"/>
  <c r="A4940" i="1"/>
  <c r="A4939" i="1"/>
  <c r="A4938" i="1"/>
  <c r="A4937" i="1"/>
  <c r="A4936" i="1"/>
  <c r="A4935" i="1"/>
  <c r="A4934" i="1"/>
  <c r="A4933" i="1"/>
  <c r="A4932" i="1"/>
  <c r="A4931" i="1"/>
  <c r="A4930" i="1"/>
  <c r="A4929" i="1"/>
  <c r="A4928" i="1"/>
  <c r="A4927" i="1"/>
  <c r="A4926" i="1"/>
  <c r="A4925" i="1"/>
  <c r="A4924" i="1"/>
  <c r="A4923" i="1"/>
  <c r="A4922" i="1"/>
  <c r="A4921" i="1"/>
  <c r="A4920" i="1"/>
  <c r="A4919" i="1"/>
  <c r="A4918" i="1"/>
  <c r="A4917" i="1"/>
  <c r="A4916" i="1"/>
  <c r="A4915" i="1"/>
  <c r="A4914" i="1"/>
  <c r="A4913" i="1"/>
  <c r="A4912" i="1"/>
  <c r="A4911" i="1"/>
  <c r="A4910" i="1"/>
  <c r="A4909" i="1"/>
  <c r="A4908" i="1"/>
  <c r="A4907" i="1"/>
  <c r="A4906" i="1"/>
  <c r="A4905" i="1"/>
  <c r="A4904" i="1"/>
  <c r="A4903" i="1"/>
  <c r="A4902" i="1"/>
  <c r="A4901" i="1"/>
  <c r="A4900" i="1"/>
  <c r="A4899" i="1"/>
  <c r="A4898" i="1"/>
  <c r="A4897" i="1"/>
  <c r="A4896" i="1"/>
  <c r="A4895" i="1"/>
  <c r="A4894" i="1"/>
  <c r="A4893" i="1"/>
  <c r="A4892" i="1"/>
  <c r="A4891" i="1"/>
  <c r="A4890" i="1"/>
  <c r="A4889" i="1"/>
  <c r="A4888" i="1"/>
  <c r="A4887" i="1"/>
  <c r="A4886" i="1"/>
  <c r="A4885" i="1"/>
  <c r="A4884" i="1"/>
  <c r="A4883" i="1"/>
  <c r="A4882" i="1"/>
  <c r="A4881" i="1"/>
  <c r="A4880" i="1"/>
  <c r="A4879" i="1"/>
  <c r="A4878" i="1"/>
  <c r="A4877" i="1"/>
  <c r="A4876" i="1"/>
  <c r="A4875" i="1"/>
  <c r="A4874" i="1"/>
  <c r="A4873" i="1"/>
  <c r="A4872" i="1"/>
  <c r="A4871" i="1"/>
  <c r="A4870" i="1"/>
  <c r="A4869" i="1"/>
  <c r="A4868" i="1"/>
  <c r="A4867" i="1"/>
  <c r="A4866" i="1"/>
  <c r="A4865" i="1"/>
  <c r="A4864" i="1"/>
  <c r="A4863" i="1"/>
  <c r="A4862" i="1"/>
  <c r="A4861" i="1"/>
  <c r="A4860" i="1"/>
  <c r="A4859" i="1"/>
  <c r="A4858" i="1"/>
  <c r="A4857" i="1"/>
  <c r="A4856" i="1"/>
  <c r="A4855" i="1"/>
  <c r="A4854" i="1"/>
  <c r="A4853" i="1"/>
  <c r="A4852" i="1"/>
  <c r="A4851" i="1"/>
  <c r="A4850" i="1"/>
  <c r="A4849" i="1"/>
  <c r="A4848" i="1"/>
  <c r="A4847" i="1"/>
  <c r="A4846" i="1"/>
  <c r="A4845" i="1"/>
  <c r="A4844" i="1"/>
  <c r="A4843" i="1"/>
  <c r="A4842" i="1"/>
  <c r="A4841" i="1"/>
  <c r="A4840" i="1"/>
  <c r="A4839" i="1"/>
  <c r="A4838" i="1"/>
  <c r="A4837" i="1"/>
  <c r="A4836" i="1"/>
  <c r="A4835" i="1"/>
  <c r="A4834" i="1"/>
  <c r="A4833" i="1"/>
  <c r="A4832" i="1"/>
  <c r="A4831" i="1"/>
  <c r="A4830" i="1"/>
  <c r="A4829" i="1"/>
  <c r="A4828" i="1"/>
  <c r="A4827" i="1"/>
  <c r="A4826" i="1"/>
  <c r="A4825" i="1"/>
  <c r="A4824" i="1"/>
  <c r="A4823" i="1"/>
  <c r="A4822" i="1"/>
  <c r="A4821" i="1"/>
  <c r="A4820" i="1"/>
  <c r="A4819" i="1"/>
  <c r="A4818" i="1"/>
  <c r="A4817" i="1"/>
  <c r="A4816" i="1"/>
  <c r="A4815" i="1"/>
  <c r="A4814" i="1"/>
  <c r="A4813" i="1"/>
  <c r="A4812" i="1"/>
  <c r="A4811" i="1"/>
  <c r="A4810" i="1"/>
  <c r="A4809" i="1"/>
  <c r="A4808" i="1"/>
  <c r="A4807" i="1"/>
  <c r="A4806" i="1"/>
  <c r="A4805" i="1"/>
  <c r="A4804" i="1"/>
  <c r="A4803" i="1"/>
  <c r="A4802" i="1"/>
  <c r="A4801" i="1"/>
  <c r="A4800" i="1"/>
  <c r="A4799" i="1"/>
  <c r="A4798" i="1"/>
  <c r="A4797" i="1"/>
  <c r="A4796" i="1"/>
  <c r="A4795" i="1"/>
  <c r="A4794" i="1"/>
  <c r="A4793" i="1"/>
  <c r="A4792" i="1"/>
  <c r="A4791" i="1"/>
  <c r="A4790" i="1"/>
  <c r="A4789" i="1"/>
  <c r="A4788" i="1"/>
  <c r="A4787" i="1"/>
  <c r="A4786" i="1"/>
  <c r="A4785" i="1"/>
  <c r="A4784" i="1"/>
  <c r="A4783" i="1"/>
  <c r="A4782" i="1"/>
  <c r="A4781" i="1"/>
  <c r="A4780" i="1"/>
  <c r="A4779" i="1"/>
  <c r="A4778" i="1"/>
  <c r="A4777" i="1"/>
  <c r="A4776" i="1"/>
  <c r="A4775" i="1"/>
  <c r="A4774" i="1"/>
  <c r="A4773" i="1"/>
  <c r="A4772" i="1"/>
  <c r="A4771" i="1"/>
  <c r="A4770" i="1"/>
  <c r="A4769" i="1"/>
  <c r="A4768" i="1"/>
  <c r="A4767" i="1"/>
  <c r="A4766" i="1"/>
  <c r="A4765" i="1"/>
  <c r="A4764" i="1"/>
  <c r="A4763" i="1"/>
  <c r="A4762" i="1"/>
  <c r="A4761" i="1"/>
  <c r="A4760" i="1"/>
  <c r="A4759" i="1"/>
  <c r="A4758" i="1"/>
  <c r="A4757" i="1"/>
  <c r="A4756" i="1"/>
  <c r="A4755" i="1"/>
  <c r="A4754" i="1"/>
  <c r="A4753" i="1"/>
  <c r="A4752" i="1"/>
  <c r="A4751" i="1"/>
  <c r="A4750" i="1"/>
  <c r="A4749" i="1"/>
  <c r="A4748" i="1"/>
  <c r="A4747" i="1"/>
  <c r="A4746" i="1"/>
  <c r="A4745" i="1"/>
  <c r="A4744" i="1"/>
  <c r="A4743" i="1"/>
  <c r="A4742" i="1"/>
  <c r="A4741" i="1"/>
  <c r="A4740" i="1"/>
  <c r="A4739" i="1"/>
  <c r="A4738" i="1"/>
  <c r="A4737" i="1"/>
  <c r="A4736" i="1"/>
  <c r="A4735" i="1"/>
  <c r="A4734" i="1"/>
  <c r="A4733" i="1"/>
  <c r="A4732" i="1"/>
  <c r="A4731" i="1"/>
  <c r="A4730" i="1"/>
  <c r="A4729" i="1"/>
  <c r="A4728" i="1"/>
  <c r="A4727" i="1"/>
  <c r="A4726" i="1"/>
  <c r="A4725" i="1"/>
  <c r="A4724" i="1"/>
  <c r="A4723" i="1"/>
  <c r="A4722" i="1"/>
  <c r="A4721" i="1"/>
  <c r="A4720" i="1"/>
  <c r="A4719" i="1"/>
  <c r="A4718" i="1"/>
  <c r="A4717" i="1"/>
  <c r="A4716" i="1"/>
  <c r="A4715" i="1"/>
  <c r="A4714" i="1"/>
  <c r="A4713" i="1"/>
  <c r="A4712" i="1"/>
  <c r="A4711" i="1"/>
  <c r="A4710" i="1"/>
  <c r="A4709" i="1"/>
  <c r="A4708" i="1"/>
  <c r="A4707" i="1"/>
  <c r="A4706" i="1"/>
  <c r="A4705" i="1"/>
  <c r="A4704" i="1"/>
  <c r="A4703" i="1"/>
  <c r="A4702" i="1"/>
  <c r="A4701" i="1"/>
  <c r="A4700" i="1"/>
  <c r="A4699" i="1"/>
  <c r="A4698" i="1"/>
  <c r="A4697" i="1"/>
  <c r="A4696" i="1"/>
  <c r="A4695" i="1"/>
  <c r="A4694" i="1"/>
  <c r="A4693" i="1"/>
  <c r="A4692" i="1"/>
  <c r="A4691" i="1"/>
  <c r="A4690" i="1"/>
  <c r="A4689" i="1"/>
  <c r="A4688" i="1"/>
  <c r="A4687" i="1"/>
  <c r="A4686" i="1"/>
  <c r="A4685" i="1"/>
  <c r="A4684" i="1"/>
  <c r="A4683" i="1"/>
  <c r="A4682" i="1"/>
  <c r="A4681" i="1"/>
  <c r="A4680" i="1"/>
  <c r="A4679" i="1"/>
  <c r="A4678" i="1"/>
  <c r="A4677" i="1"/>
  <c r="A4676" i="1"/>
  <c r="A4675" i="1"/>
  <c r="A4674" i="1"/>
  <c r="A4673" i="1"/>
  <c r="A4672" i="1"/>
  <c r="A4671" i="1"/>
  <c r="A4670" i="1"/>
  <c r="A4669" i="1"/>
  <c r="A4668" i="1"/>
  <c r="A4667" i="1"/>
  <c r="A4666" i="1"/>
  <c r="A4665" i="1"/>
  <c r="A4664" i="1"/>
  <c r="A4663" i="1"/>
  <c r="A4662" i="1"/>
  <c r="A4661" i="1"/>
  <c r="A4660" i="1"/>
  <c r="A4659" i="1"/>
  <c r="A4658" i="1"/>
  <c r="A4657" i="1"/>
  <c r="A4656" i="1"/>
  <c r="A4655" i="1"/>
  <c r="A4654" i="1"/>
  <c r="A4653" i="1"/>
  <c r="A4652" i="1"/>
  <c r="A4651" i="1"/>
  <c r="A4650" i="1"/>
  <c r="A4649" i="1"/>
  <c r="A4648" i="1"/>
  <c r="A4647" i="1"/>
  <c r="A4646" i="1"/>
  <c r="A4645" i="1"/>
  <c r="A4644" i="1"/>
  <c r="A4643" i="1"/>
  <c r="A4642" i="1"/>
  <c r="A4641" i="1"/>
  <c r="A4640" i="1"/>
  <c r="A4639" i="1"/>
  <c r="A4638" i="1"/>
  <c r="A4637" i="1"/>
  <c r="A4636" i="1"/>
  <c r="A4635" i="1"/>
  <c r="A4634" i="1"/>
  <c r="A4633" i="1"/>
  <c r="A4632" i="1"/>
  <c r="A4631" i="1"/>
  <c r="A4630" i="1"/>
  <c r="A4629" i="1"/>
  <c r="A4628" i="1"/>
  <c r="A4627" i="1"/>
  <c r="A4626" i="1"/>
  <c r="A4625" i="1"/>
  <c r="A4624" i="1"/>
  <c r="A4623" i="1"/>
  <c r="A4622" i="1"/>
  <c r="A4621" i="1"/>
  <c r="A4620" i="1"/>
  <c r="A4619" i="1"/>
  <c r="A4618" i="1"/>
  <c r="A4617" i="1"/>
  <c r="A4616" i="1"/>
  <c r="A4615" i="1"/>
  <c r="A4614" i="1"/>
  <c r="A4613" i="1"/>
  <c r="A4612" i="1"/>
  <c r="A4611" i="1"/>
  <c r="A4610" i="1"/>
  <c r="A4609" i="1"/>
  <c r="A4608" i="1"/>
  <c r="A4607" i="1"/>
  <c r="A4606" i="1"/>
  <c r="A4605" i="1"/>
  <c r="A4604" i="1"/>
  <c r="A4603" i="1"/>
  <c r="A4602" i="1"/>
  <c r="A4601" i="1"/>
  <c r="A4600" i="1"/>
  <c r="A4599" i="1"/>
  <c r="A4598" i="1"/>
  <c r="A4597" i="1"/>
  <c r="A4596" i="1"/>
  <c r="A4595" i="1"/>
  <c r="A4594" i="1"/>
  <c r="A4593" i="1"/>
  <c r="A4592" i="1"/>
  <c r="A4591" i="1"/>
  <c r="A4590" i="1"/>
  <c r="A4589" i="1"/>
  <c r="A4588" i="1"/>
  <c r="A4587" i="1"/>
  <c r="A4586" i="1"/>
  <c r="A4585" i="1"/>
  <c r="A4584" i="1"/>
  <c r="A4583" i="1"/>
  <c r="A4582" i="1"/>
  <c r="A4581" i="1"/>
  <c r="A4580" i="1"/>
  <c r="A4579" i="1"/>
  <c r="A4578" i="1"/>
  <c r="A4577" i="1"/>
  <c r="A4576" i="1"/>
  <c r="A4575" i="1"/>
  <c r="A4574" i="1"/>
  <c r="A4573" i="1"/>
  <c r="A4572" i="1"/>
  <c r="A4571" i="1"/>
  <c r="A4570" i="1"/>
  <c r="A4569" i="1"/>
  <c r="A4568" i="1"/>
  <c r="A4567" i="1"/>
  <c r="A4566" i="1"/>
  <c r="A4565" i="1"/>
  <c r="A4564" i="1"/>
  <c r="A4563" i="1"/>
  <c r="A4562" i="1"/>
  <c r="A4561" i="1"/>
  <c r="A4560" i="1"/>
  <c r="A4559" i="1"/>
  <c r="A4558" i="1"/>
  <c r="A4557" i="1"/>
  <c r="A4556" i="1"/>
  <c r="A4555" i="1"/>
  <c r="A4554" i="1"/>
  <c r="A4553" i="1"/>
  <c r="A4552" i="1"/>
  <c r="A4551" i="1"/>
  <c r="A4550" i="1"/>
  <c r="A4549" i="1"/>
  <c r="A4548" i="1"/>
  <c r="A4547" i="1"/>
  <c r="A4546" i="1"/>
  <c r="A4545" i="1"/>
  <c r="A4544" i="1"/>
  <c r="A4543" i="1"/>
  <c r="A4542" i="1"/>
  <c r="A4541" i="1"/>
  <c r="A4540" i="1"/>
  <c r="A4539" i="1"/>
  <c r="A4538" i="1"/>
  <c r="A4537" i="1"/>
  <c r="A4536" i="1"/>
  <c r="A4535" i="1"/>
  <c r="A4534" i="1"/>
  <c r="A4533" i="1"/>
  <c r="A4532" i="1"/>
  <c r="A4531" i="1"/>
  <c r="A4530" i="1"/>
  <c r="A4529" i="1"/>
  <c r="A4528" i="1"/>
  <c r="A4527" i="1"/>
  <c r="A4526" i="1"/>
  <c r="A4525" i="1"/>
  <c r="A4524" i="1"/>
  <c r="A4523" i="1"/>
  <c r="A4522" i="1"/>
  <c r="A4521" i="1"/>
  <c r="A4520" i="1"/>
  <c r="A4519" i="1"/>
  <c r="A4518" i="1"/>
  <c r="A4517" i="1"/>
  <c r="A4516" i="1"/>
  <c r="A4515" i="1"/>
  <c r="A4514" i="1"/>
  <c r="A4513" i="1"/>
  <c r="A4512" i="1"/>
  <c r="A4511" i="1"/>
  <c r="A4510" i="1"/>
  <c r="A4509" i="1"/>
  <c r="A4508" i="1"/>
  <c r="A4507" i="1"/>
  <c r="A4506" i="1"/>
  <c r="A4505" i="1"/>
  <c r="A4504" i="1"/>
  <c r="A4503" i="1"/>
  <c r="A4502" i="1"/>
  <c r="A4501" i="1"/>
  <c r="A4500" i="1"/>
  <c r="A4499" i="1"/>
  <c r="A4498" i="1"/>
  <c r="A4497" i="1"/>
  <c r="A4496" i="1"/>
  <c r="A4495" i="1"/>
  <c r="A4494" i="1"/>
  <c r="A4493" i="1"/>
  <c r="A4492" i="1"/>
  <c r="A4491" i="1"/>
  <c r="A4490" i="1"/>
  <c r="A4489" i="1"/>
  <c r="A4488" i="1"/>
  <c r="A4487" i="1"/>
  <c r="A4486" i="1"/>
  <c r="A4485" i="1"/>
  <c r="A4484" i="1"/>
  <c r="A4483" i="1"/>
  <c r="A4482" i="1"/>
  <c r="A4481" i="1"/>
  <c r="A4480" i="1"/>
  <c r="A4479" i="1"/>
  <c r="A4478" i="1"/>
  <c r="A4477" i="1"/>
  <c r="A4476" i="1"/>
  <c r="A4475" i="1"/>
  <c r="A4474" i="1"/>
  <c r="A4473" i="1"/>
  <c r="A4472" i="1"/>
  <c r="A4471" i="1"/>
  <c r="A4470" i="1"/>
  <c r="A4469" i="1"/>
  <c r="A4468" i="1"/>
  <c r="A4467" i="1"/>
  <c r="A4466" i="1"/>
  <c r="A4465" i="1"/>
  <c r="A4464" i="1"/>
  <c r="A4463" i="1"/>
  <c r="A4462" i="1"/>
  <c r="A4461" i="1"/>
  <c r="A4460" i="1"/>
  <c r="A4459" i="1"/>
  <c r="A4458" i="1"/>
  <c r="A4457" i="1"/>
  <c r="A4456" i="1"/>
  <c r="A4455" i="1"/>
  <c r="A4454" i="1"/>
  <c r="A4453" i="1"/>
  <c r="A4452" i="1"/>
  <c r="A4451" i="1"/>
  <c r="A4450" i="1"/>
  <c r="A4449" i="1"/>
  <c r="A4448" i="1"/>
  <c r="A4447" i="1"/>
  <c r="A4446" i="1"/>
  <c r="A4445" i="1"/>
  <c r="A4444" i="1"/>
  <c r="A4443" i="1"/>
  <c r="A4442" i="1"/>
  <c r="A4441" i="1"/>
  <c r="A4440" i="1"/>
  <c r="A4439" i="1"/>
  <c r="A4438" i="1"/>
  <c r="A4437" i="1"/>
  <c r="A4436" i="1"/>
  <c r="A4435" i="1"/>
  <c r="A4434" i="1"/>
  <c r="A4433" i="1"/>
  <c r="A4432" i="1"/>
  <c r="A4431" i="1"/>
  <c r="A4430" i="1"/>
  <c r="A4429" i="1"/>
  <c r="A4428" i="1"/>
  <c r="A4427" i="1"/>
  <c r="A4426" i="1"/>
  <c r="A4425" i="1"/>
  <c r="A4424" i="1"/>
  <c r="A4423" i="1"/>
  <c r="A4422" i="1"/>
  <c r="A4421" i="1"/>
  <c r="A4420" i="1"/>
  <c r="A4419" i="1"/>
  <c r="A4418" i="1"/>
  <c r="A4417" i="1"/>
  <c r="A4416" i="1"/>
  <c r="A4415" i="1"/>
  <c r="A4414" i="1"/>
  <c r="A4413" i="1"/>
  <c r="A4412" i="1"/>
  <c r="A4411" i="1"/>
  <c r="A4410" i="1"/>
  <c r="A4409" i="1"/>
  <c r="A4408" i="1"/>
  <c r="A4407" i="1"/>
  <c r="A4406" i="1"/>
  <c r="A4405" i="1"/>
  <c r="A4404" i="1"/>
  <c r="A4403" i="1"/>
  <c r="A4402" i="1"/>
  <c r="A4401" i="1"/>
  <c r="A4400" i="1"/>
  <c r="A4399" i="1"/>
  <c r="A4398" i="1"/>
  <c r="A4397" i="1"/>
  <c r="A4396" i="1"/>
  <c r="A4395" i="1"/>
  <c r="A4394" i="1"/>
  <c r="A4393" i="1"/>
  <c r="A4392" i="1"/>
  <c r="A4391" i="1"/>
  <c r="A4390" i="1"/>
  <c r="A4389" i="1"/>
  <c r="A4388" i="1"/>
  <c r="A4387" i="1"/>
  <c r="A4386" i="1"/>
  <c r="A4385" i="1"/>
  <c r="A4384" i="1"/>
  <c r="A4383" i="1"/>
  <c r="A4382" i="1"/>
  <c r="A4381" i="1"/>
  <c r="A4380" i="1"/>
  <c r="A4379" i="1"/>
  <c r="A4378" i="1"/>
  <c r="A4377" i="1"/>
  <c r="A4376" i="1"/>
  <c r="A4375" i="1"/>
  <c r="A4374" i="1"/>
  <c r="A4373" i="1"/>
  <c r="A4372" i="1"/>
  <c r="A4371" i="1"/>
  <c r="A4370" i="1"/>
  <c r="A4369" i="1"/>
  <c r="A4368" i="1"/>
  <c r="A4367" i="1"/>
  <c r="A4366" i="1"/>
  <c r="A4365" i="1"/>
  <c r="A4364" i="1"/>
  <c r="A4363" i="1"/>
  <c r="A4362" i="1"/>
  <c r="A4361" i="1"/>
  <c r="A4360" i="1"/>
  <c r="A4359" i="1"/>
  <c r="A4358" i="1"/>
  <c r="A4357" i="1"/>
  <c r="A4356" i="1"/>
  <c r="A4355" i="1"/>
  <c r="A4354" i="1"/>
  <c r="A4353" i="1"/>
  <c r="A4352" i="1"/>
  <c r="A4351" i="1"/>
  <c r="A4350" i="1"/>
  <c r="A4349" i="1"/>
  <c r="A4348" i="1"/>
  <c r="A4347" i="1"/>
  <c r="A4346" i="1"/>
  <c r="A4345" i="1"/>
  <c r="A4344" i="1"/>
  <c r="A4343" i="1"/>
  <c r="A4342" i="1"/>
  <c r="A4341" i="1"/>
  <c r="A4340" i="1"/>
  <c r="A4339" i="1"/>
  <c r="A4338" i="1"/>
  <c r="A4337" i="1"/>
  <c r="A4336" i="1"/>
  <c r="A4335" i="1"/>
  <c r="A4334" i="1"/>
  <c r="A4333" i="1"/>
  <c r="A4332" i="1"/>
  <c r="A4331" i="1"/>
  <c r="A4330" i="1"/>
  <c r="A4329" i="1"/>
  <c r="A4328" i="1"/>
  <c r="A4327" i="1"/>
  <c r="A4326" i="1"/>
  <c r="A4325" i="1"/>
  <c r="A4324" i="1"/>
  <c r="A4323" i="1"/>
  <c r="A4322" i="1"/>
  <c r="A4321" i="1"/>
  <c r="A4320" i="1"/>
  <c r="A4319" i="1"/>
  <c r="A4318" i="1"/>
  <c r="A4317" i="1"/>
  <c r="A4316" i="1"/>
  <c r="A4315" i="1"/>
  <c r="A4314" i="1"/>
  <c r="A4313" i="1"/>
  <c r="A4312" i="1"/>
  <c r="A4311" i="1"/>
  <c r="A4310" i="1"/>
  <c r="A4309" i="1"/>
  <c r="A4308" i="1"/>
  <c r="A4307" i="1"/>
  <c r="A4306" i="1"/>
  <c r="A4305" i="1"/>
  <c r="A4304" i="1"/>
  <c r="A4303" i="1"/>
  <c r="A4302" i="1"/>
  <c r="A4301" i="1"/>
  <c r="A4300" i="1"/>
  <c r="A4299" i="1"/>
  <c r="A4298" i="1"/>
  <c r="A4297" i="1"/>
  <c r="A4296" i="1"/>
  <c r="A4295" i="1"/>
  <c r="A4294" i="1"/>
  <c r="A4293" i="1"/>
  <c r="A4292" i="1"/>
  <c r="A4291" i="1"/>
  <c r="A4290" i="1"/>
  <c r="A4289" i="1"/>
  <c r="A4288" i="1"/>
  <c r="A4287" i="1"/>
  <c r="A4286" i="1"/>
  <c r="A4285" i="1"/>
  <c r="A4284" i="1"/>
  <c r="A4283" i="1"/>
  <c r="A4282" i="1"/>
  <c r="A4281" i="1"/>
  <c r="A4280" i="1"/>
  <c r="A4279" i="1"/>
  <c r="A4278" i="1"/>
  <c r="A4277" i="1"/>
  <c r="A4276" i="1"/>
  <c r="A4275" i="1"/>
  <c r="A4274" i="1"/>
  <c r="A4273" i="1"/>
  <c r="A4272" i="1"/>
  <c r="A4271" i="1"/>
  <c r="A4270" i="1"/>
  <c r="A4269" i="1"/>
  <c r="A4268" i="1"/>
  <c r="A4267" i="1"/>
  <c r="A4266" i="1"/>
  <c r="A4265" i="1"/>
  <c r="A4264" i="1"/>
  <c r="A4263" i="1"/>
  <c r="A4262" i="1"/>
  <c r="A4261" i="1"/>
  <c r="A4260" i="1"/>
  <c r="A4259" i="1"/>
  <c r="A4258" i="1"/>
  <c r="A4257" i="1"/>
  <c r="A4256" i="1"/>
  <c r="A4255" i="1"/>
  <c r="A4254" i="1"/>
  <c r="A4253" i="1"/>
  <c r="A4252" i="1"/>
  <c r="A4251" i="1"/>
  <c r="A4250" i="1"/>
  <c r="A4249" i="1"/>
  <c r="A4248" i="1"/>
  <c r="A4247" i="1"/>
  <c r="A4246" i="1"/>
  <c r="A4245" i="1"/>
  <c r="A4244" i="1"/>
  <c r="A4243" i="1"/>
  <c r="A4242" i="1"/>
  <c r="A4241" i="1"/>
  <c r="A4240" i="1"/>
  <c r="A4239" i="1"/>
  <c r="A4238" i="1"/>
  <c r="A4237" i="1"/>
  <c r="A4236" i="1"/>
  <c r="A4235" i="1"/>
  <c r="A4234" i="1"/>
  <c r="A4233" i="1"/>
  <c r="A4232" i="1"/>
  <c r="A4231" i="1"/>
  <c r="A4230" i="1"/>
  <c r="A4229" i="1"/>
  <c r="A4228" i="1"/>
  <c r="A4227" i="1"/>
  <c r="A4226" i="1"/>
  <c r="A4225" i="1"/>
  <c r="A4224" i="1"/>
  <c r="A4223" i="1"/>
  <c r="A4222" i="1"/>
  <c r="A4221" i="1"/>
  <c r="A4220" i="1"/>
  <c r="A4219" i="1"/>
  <c r="A4218" i="1"/>
  <c r="A4217" i="1"/>
  <c r="A4216" i="1"/>
  <c r="A4215" i="1"/>
  <c r="A4214" i="1"/>
  <c r="A4213" i="1"/>
  <c r="A4212" i="1"/>
  <c r="A4211" i="1"/>
  <c r="A4210" i="1"/>
  <c r="A4209" i="1"/>
  <c r="A4208" i="1"/>
  <c r="A4207" i="1"/>
  <c r="A4206" i="1"/>
  <c r="A4205" i="1"/>
  <c r="A4204" i="1"/>
  <c r="A4203" i="1"/>
  <c r="A4202" i="1"/>
  <c r="A4201" i="1"/>
  <c r="A4200" i="1"/>
  <c r="A4199" i="1"/>
  <c r="A4198" i="1"/>
  <c r="A4197" i="1"/>
  <c r="A4196" i="1"/>
  <c r="A4195" i="1"/>
  <c r="A4194" i="1"/>
  <c r="A4193" i="1"/>
  <c r="A4192" i="1"/>
  <c r="A4191" i="1"/>
  <c r="A4190" i="1"/>
  <c r="A4189" i="1"/>
  <c r="A4188" i="1"/>
  <c r="A4187" i="1"/>
  <c r="A4186" i="1"/>
  <c r="A4185" i="1"/>
  <c r="A4184" i="1"/>
  <c r="A4183" i="1"/>
  <c r="A4182" i="1"/>
  <c r="A4181" i="1"/>
  <c r="A4180" i="1"/>
  <c r="A4179" i="1"/>
  <c r="A4178" i="1"/>
  <c r="A4177" i="1"/>
  <c r="A4176" i="1"/>
  <c r="A4175" i="1"/>
  <c r="A4174" i="1"/>
  <c r="A4173" i="1"/>
  <c r="A4172" i="1"/>
  <c r="A4171" i="1"/>
  <c r="A4170" i="1"/>
  <c r="A4169" i="1"/>
  <c r="A4168" i="1"/>
  <c r="A4167" i="1"/>
  <c r="A4166" i="1"/>
  <c r="A4165" i="1"/>
  <c r="A4164" i="1"/>
  <c r="A4163" i="1"/>
  <c r="A4162" i="1"/>
  <c r="A4161" i="1"/>
  <c r="A4160" i="1"/>
  <c r="A4159" i="1"/>
  <c r="A4158" i="1"/>
  <c r="A4157" i="1"/>
  <c r="A4156" i="1"/>
  <c r="A4155" i="1"/>
  <c r="A4154" i="1"/>
  <c r="A4153" i="1"/>
  <c r="A4152" i="1"/>
  <c r="A4151" i="1"/>
  <c r="A4150" i="1"/>
  <c r="A4149" i="1"/>
  <c r="A4148" i="1"/>
  <c r="A4147" i="1"/>
  <c r="A4146" i="1"/>
  <c r="A4145" i="1"/>
  <c r="A4144" i="1"/>
  <c r="A4143" i="1"/>
  <c r="A4142" i="1"/>
  <c r="A4141" i="1"/>
  <c r="A4140" i="1"/>
  <c r="A4139" i="1"/>
  <c r="A4138" i="1"/>
  <c r="A4137" i="1"/>
  <c r="A4136" i="1"/>
  <c r="A4135" i="1"/>
  <c r="A4134" i="1"/>
  <c r="A4133" i="1"/>
  <c r="A4132" i="1"/>
  <c r="A4131" i="1"/>
  <c r="A4130" i="1"/>
  <c r="A4129" i="1"/>
  <c r="A4128" i="1"/>
  <c r="A4127" i="1"/>
  <c r="A4126" i="1"/>
  <c r="A4125" i="1"/>
  <c r="A4124" i="1"/>
  <c r="A4123" i="1"/>
  <c r="A4122" i="1"/>
  <c r="A4121" i="1"/>
  <c r="A4120" i="1"/>
  <c r="A4119" i="1"/>
  <c r="A4118" i="1"/>
  <c r="A4117" i="1"/>
  <c r="A4116" i="1"/>
  <c r="A4115" i="1"/>
  <c r="A4114" i="1"/>
  <c r="A4113" i="1"/>
  <c r="A4112" i="1"/>
  <c r="A4111" i="1"/>
  <c r="A4110" i="1"/>
  <c r="A4109" i="1"/>
  <c r="A4108" i="1"/>
  <c r="A4107" i="1"/>
  <c r="A4106" i="1"/>
  <c r="A4105" i="1"/>
  <c r="A4104" i="1"/>
  <c r="A4103" i="1"/>
  <c r="A4102" i="1"/>
  <c r="A4101" i="1"/>
  <c r="A4100" i="1"/>
  <c r="A4099" i="1"/>
  <c r="A4098" i="1"/>
  <c r="A4097" i="1"/>
  <c r="A4096" i="1"/>
  <c r="A4095" i="1"/>
  <c r="A4094" i="1"/>
  <c r="A4093" i="1"/>
  <c r="A4092" i="1"/>
  <c r="A4091" i="1"/>
  <c r="A4090" i="1"/>
  <c r="A4089" i="1"/>
  <c r="A4088" i="1"/>
  <c r="A4087" i="1"/>
  <c r="A4086" i="1"/>
  <c r="A4085" i="1"/>
  <c r="A4084" i="1"/>
  <c r="A4083" i="1"/>
  <c r="A4082" i="1"/>
  <c r="A4081" i="1"/>
  <c r="A4080" i="1"/>
  <c r="A4079" i="1"/>
  <c r="A4078" i="1"/>
  <c r="A4077" i="1"/>
  <c r="A4076" i="1"/>
  <c r="A4075" i="1"/>
  <c r="A4074" i="1"/>
  <c r="A4073" i="1"/>
  <c r="A4072" i="1"/>
  <c r="A4071" i="1"/>
  <c r="A4070" i="1"/>
  <c r="A4069" i="1"/>
  <c r="A4068" i="1"/>
  <c r="A4067" i="1"/>
  <c r="A4066" i="1"/>
  <c r="A4065" i="1"/>
  <c r="A4064" i="1"/>
  <c r="A4063" i="1"/>
  <c r="A4062" i="1"/>
  <c r="A4061" i="1"/>
  <c r="A4060" i="1"/>
  <c r="A4059" i="1"/>
  <c r="A4058" i="1"/>
  <c r="A4057" i="1"/>
  <c r="A4056" i="1"/>
  <c r="A4055" i="1"/>
  <c r="A4054" i="1"/>
  <c r="A4053" i="1"/>
  <c r="A4052" i="1"/>
  <c r="A4051" i="1"/>
  <c r="A4050" i="1"/>
  <c r="A4049" i="1"/>
  <c r="A4048" i="1"/>
  <c r="A4047" i="1"/>
  <c r="A4046" i="1"/>
  <c r="A4045" i="1"/>
  <c r="A4044" i="1"/>
  <c r="A4043" i="1"/>
  <c r="A4042" i="1"/>
  <c r="A4041" i="1"/>
  <c r="A4040" i="1"/>
  <c r="A4039" i="1"/>
  <c r="A4038" i="1"/>
  <c r="A4037" i="1"/>
  <c r="A4036" i="1"/>
  <c r="A4035" i="1"/>
  <c r="A4034" i="1"/>
  <c r="A4033" i="1"/>
  <c r="A4032" i="1"/>
  <c r="A4031" i="1"/>
  <c r="A4030" i="1"/>
  <c r="A4029" i="1"/>
  <c r="A4028" i="1"/>
  <c r="A4027" i="1"/>
  <c r="A4026" i="1"/>
  <c r="A4025" i="1"/>
  <c r="A4024" i="1"/>
  <c r="A4023" i="1"/>
  <c r="A4022" i="1"/>
  <c r="A4021" i="1"/>
  <c r="A4020" i="1"/>
  <c r="A4019" i="1"/>
  <c r="A4018" i="1"/>
  <c r="A4017" i="1"/>
  <c r="A4016" i="1"/>
  <c r="A4015" i="1"/>
  <c r="A4014" i="1"/>
  <c r="A4013" i="1"/>
  <c r="A4012" i="1"/>
  <c r="A4011" i="1"/>
  <c r="A4010" i="1"/>
  <c r="A4009" i="1"/>
  <c r="A4008" i="1"/>
  <c r="A4007" i="1"/>
  <c r="A4006" i="1"/>
  <c r="A4005" i="1"/>
  <c r="A4004" i="1"/>
  <c r="A4003" i="1"/>
  <c r="A4002" i="1"/>
  <c r="A4001" i="1"/>
  <c r="A4000" i="1"/>
  <c r="A3999" i="1"/>
  <c r="A3998" i="1"/>
  <c r="A3997" i="1"/>
  <c r="A3996" i="1"/>
  <c r="A3995" i="1"/>
  <c r="A3994" i="1"/>
  <c r="A3993" i="1"/>
  <c r="A3992" i="1"/>
  <c r="A3991" i="1"/>
  <c r="A3990" i="1"/>
  <c r="A3989" i="1"/>
  <c r="A3988" i="1"/>
  <c r="A3987" i="1"/>
  <c r="A3986" i="1"/>
  <c r="A3985" i="1"/>
  <c r="A3984" i="1"/>
  <c r="A3983" i="1"/>
  <c r="A3982" i="1"/>
  <c r="A3981" i="1"/>
  <c r="A3980" i="1"/>
  <c r="A3979" i="1"/>
  <c r="A3978" i="1"/>
  <c r="A3977" i="1"/>
  <c r="A3976" i="1"/>
  <c r="A3975" i="1"/>
  <c r="A3974" i="1"/>
  <c r="A3973" i="1"/>
  <c r="A3972" i="1"/>
  <c r="A3971" i="1"/>
  <c r="A3970" i="1"/>
  <c r="A3969" i="1"/>
  <c r="A3968" i="1"/>
  <c r="A3967" i="1"/>
  <c r="A3966" i="1"/>
  <c r="A3965" i="1"/>
  <c r="A3964" i="1"/>
  <c r="A3963" i="1"/>
  <c r="A3962" i="1"/>
  <c r="A3961" i="1"/>
  <c r="A3960" i="1"/>
  <c r="A3959" i="1"/>
  <c r="A3958" i="1"/>
  <c r="A3957" i="1"/>
  <c r="A3956" i="1"/>
  <c r="A3955" i="1"/>
  <c r="A3954" i="1"/>
  <c r="A3953" i="1"/>
  <c r="A3952" i="1"/>
  <c r="A3951" i="1"/>
  <c r="A3950" i="1"/>
  <c r="A3949" i="1"/>
  <c r="A3948" i="1"/>
  <c r="A3947" i="1"/>
  <c r="A3946" i="1"/>
  <c r="A3945" i="1"/>
  <c r="A3944" i="1"/>
  <c r="A3943" i="1"/>
  <c r="A3942" i="1"/>
  <c r="A3941" i="1"/>
  <c r="A3940" i="1"/>
  <c r="A3939" i="1"/>
  <c r="A3938" i="1"/>
  <c r="A3937" i="1"/>
  <c r="A3936" i="1"/>
  <c r="A3935" i="1"/>
  <c r="A3934" i="1"/>
  <c r="A3933" i="1"/>
  <c r="A3932" i="1"/>
  <c r="A3931" i="1"/>
  <c r="A3930" i="1"/>
  <c r="A3929" i="1"/>
  <c r="A3928" i="1"/>
  <c r="A3927" i="1"/>
  <c r="A3926" i="1"/>
  <c r="A3925" i="1"/>
  <c r="A3924" i="1"/>
  <c r="A3923" i="1"/>
  <c r="A3922" i="1"/>
  <c r="A3921" i="1"/>
  <c r="A3920" i="1"/>
  <c r="A3919" i="1"/>
  <c r="A3918" i="1"/>
  <c r="A3917" i="1"/>
  <c r="A3916" i="1"/>
  <c r="A3915" i="1"/>
  <c r="A3914" i="1"/>
  <c r="A3913" i="1"/>
  <c r="A3912" i="1"/>
  <c r="A3911" i="1"/>
  <c r="A3910" i="1"/>
  <c r="A3909" i="1"/>
  <c r="A3908" i="1"/>
  <c r="A3907" i="1"/>
  <c r="A3906" i="1"/>
  <c r="A3905" i="1"/>
  <c r="A3904" i="1"/>
  <c r="A3903" i="1"/>
  <c r="A3902" i="1"/>
  <c r="A3901" i="1"/>
  <c r="A3900" i="1"/>
  <c r="A3899" i="1"/>
  <c r="A3898" i="1"/>
  <c r="A3897" i="1"/>
  <c r="A3896" i="1"/>
  <c r="A3895" i="1"/>
  <c r="A3894" i="1"/>
  <c r="A3893" i="1"/>
  <c r="A3892" i="1"/>
  <c r="A3891" i="1"/>
  <c r="A3890" i="1"/>
  <c r="A3889" i="1"/>
  <c r="A3888" i="1"/>
  <c r="A3887" i="1"/>
  <c r="A3886" i="1"/>
  <c r="A3885" i="1"/>
  <c r="A3884" i="1"/>
  <c r="A3883" i="1"/>
  <c r="A3882" i="1"/>
  <c r="A3881" i="1"/>
  <c r="A3880" i="1"/>
  <c r="A3879" i="1"/>
  <c r="A3878" i="1"/>
  <c r="A3877" i="1"/>
  <c r="A3876" i="1"/>
  <c r="A3875" i="1"/>
  <c r="A3874" i="1"/>
  <c r="A3873" i="1"/>
  <c r="A3872" i="1"/>
  <c r="A3871" i="1"/>
  <c r="A3870" i="1"/>
  <c r="A3869" i="1"/>
  <c r="A3868" i="1"/>
  <c r="A3867" i="1"/>
  <c r="A3866" i="1"/>
  <c r="A3865" i="1"/>
  <c r="A3864" i="1"/>
  <c r="A3863" i="1"/>
  <c r="A3862" i="1"/>
  <c r="A3861" i="1"/>
  <c r="A3860" i="1"/>
  <c r="A3859" i="1"/>
  <c r="A3858" i="1"/>
  <c r="A3857" i="1"/>
  <c r="A3856" i="1"/>
  <c r="A3855" i="1"/>
  <c r="A3854" i="1"/>
  <c r="A3853" i="1"/>
  <c r="A3852" i="1"/>
  <c r="A3851" i="1"/>
  <c r="A3850" i="1"/>
  <c r="A3849" i="1"/>
  <c r="A3848" i="1"/>
  <c r="A3847" i="1"/>
  <c r="A3846" i="1"/>
  <c r="A3845" i="1"/>
  <c r="A3844" i="1"/>
  <c r="A3843" i="1"/>
  <c r="A3842" i="1"/>
  <c r="A3841" i="1"/>
  <c r="A3840" i="1"/>
  <c r="A3839" i="1"/>
  <c r="A3838" i="1"/>
  <c r="A3837" i="1"/>
  <c r="A3836" i="1"/>
  <c r="A3835" i="1"/>
  <c r="A3834" i="1"/>
  <c r="A3833" i="1"/>
  <c r="A3832" i="1"/>
  <c r="A3831" i="1"/>
  <c r="A3830" i="1"/>
  <c r="A3829" i="1"/>
  <c r="A3828" i="1"/>
  <c r="A3827" i="1"/>
  <c r="A3826" i="1"/>
  <c r="A3825" i="1"/>
  <c r="A3824" i="1"/>
  <c r="A3823" i="1"/>
  <c r="A3822" i="1"/>
  <c r="A3821" i="1"/>
  <c r="A3820" i="1"/>
  <c r="A3819" i="1"/>
  <c r="A3818" i="1"/>
  <c r="A3817" i="1"/>
  <c r="A3816" i="1"/>
  <c r="A3815" i="1"/>
  <c r="A3814" i="1"/>
  <c r="A3813" i="1"/>
  <c r="A3812" i="1"/>
  <c r="A3811" i="1"/>
  <c r="A3810" i="1"/>
  <c r="A3809" i="1"/>
  <c r="A3808" i="1"/>
  <c r="A3807" i="1"/>
  <c r="A3806" i="1"/>
  <c r="A3805" i="1"/>
  <c r="A3804" i="1"/>
  <c r="A3803" i="1"/>
  <c r="A3802" i="1"/>
  <c r="A3801" i="1"/>
  <c r="A3800" i="1"/>
  <c r="A3799" i="1"/>
  <c r="A3798" i="1"/>
  <c r="A3797" i="1"/>
  <c r="A3796" i="1"/>
  <c r="A3795" i="1"/>
  <c r="A3794" i="1"/>
  <c r="A3793" i="1"/>
  <c r="A3792" i="1"/>
  <c r="A3791" i="1"/>
  <c r="A3790" i="1"/>
  <c r="A3789" i="1"/>
  <c r="A3788" i="1"/>
  <c r="A3787" i="1"/>
  <c r="A3786" i="1"/>
  <c r="A3785" i="1"/>
  <c r="A3784" i="1"/>
  <c r="A3783" i="1"/>
  <c r="A3782" i="1"/>
  <c r="A3781" i="1"/>
  <c r="A3780" i="1"/>
  <c r="A3779" i="1"/>
  <c r="A3778" i="1"/>
  <c r="A3777" i="1"/>
  <c r="A3776" i="1"/>
  <c r="A3775" i="1"/>
  <c r="A3774" i="1"/>
  <c r="A3773" i="1"/>
  <c r="A3772" i="1"/>
  <c r="A3771" i="1"/>
  <c r="A3770" i="1"/>
  <c r="A3769" i="1"/>
  <c r="A3768" i="1"/>
  <c r="A3767" i="1"/>
  <c r="A3766" i="1"/>
  <c r="A3765" i="1"/>
  <c r="A3764" i="1"/>
  <c r="A3763" i="1"/>
  <c r="A3762" i="1"/>
  <c r="A3761" i="1"/>
  <c r="A3760" i="1"/>
  <c r="A3759" i="1"/>
  <c r="A3758" i="1"/>
  <c r="A3757" i="1"/>
  <c r="A3756" i="1"/>
  <c r="A3755" i="1"/>
  <c r="A3754" i="1"/>
  <c r="A3753" i="1"/>
  <c r="A3752" i="1"/>
  <c r="A3751" i="1"/>
  <c r="A3750" i="1"/>
  <c r="A3749" i="1"/>
  <c r="A3748" i="1"/>
  <c r="A3747" i="1"/>
  <c r="A3746" i="1"/>
  <c r="A3745" i="1"/>
  <c r="A3744" i="1"/>
  <c r="A3743" i="1"/>
  <c r="A3742" i="1"/>
  <c r="A3741" i="1"/>
  <c r="A3740" i="1"/>
  <c r="A3739" i="1"/>
  <c r="A3738" i="1"/>
  <c r="A3737" i="1"/>
  <c r="A3736" i="1"/>
  <c r="A3735" i="1"/>
  <c r="A3734" i="1"/>
  <c r="A3733" i="1"/>
  <c r="A3732" i="1"/>
  <c r="A3731" i="1"/>
  <c r="A3730" i="1"/>
  <c r="A3729" i="1"/>
  <c r="A3728" i="1"/>
  <c r="A3727" i="1"/>
  <c r="A3726" i="1"/>
  <c r="A3725" i="1"/>
  <c r="A3724" i="1"/>
  <c r="A3723" i="1"/>
  <c r="A3722" i="1"/>
  <c r="A3721" i="1"/>
  <c r="A3720" i="1"/>
  <c r="A3719" i="1"/>
  <c r="A3718" i="1"/>
  <c r="A3717" i="1"/>
  <c r="A3716" i="1"/>
  <c r="A3715" i="1"/>
  <c r="A3714" i="1"/>
  <c r="A3713" i="1"/>
  <c r="A3712" i="1"/>
  <c r="A3711" i="1"/>
  <c r="A3710" i="1"/>
  <c r="A3709" i="1"/>
  <c r="A3708" i="1"/>
  <c r="A3707" i="1"/>
  <c r="A3706" i="1"/>
  <c r="A3705" i="1"/>
  <c r="A3704" i="1"/>
  <c r="A3703" i="1"/>
  <c r="A3702" i="1"/>
  <c r="A3701" i="1"/>
  <c r="A3700" i="1"/>
  <c r="A3699" i="1"/>
  <c r="A3698" i="1"/>
  <c r="A3697" i="1"/>
  <c r="A3696" i="1"/>
  <c r="A3695" i="1"/>
  <c r="A3694" i="1"/>
  <c r="A3693" i="1"/>
  <c r="A3692" i="1"/>
  <c r="A3691" i="1"/>
  <c r="A3690" i="1"/>
  <c r="A3689" i="1"/>
  <c r="A3688" i="1"/>
  <c r="A3687" i="1"/>
  <c r="A3686" i="1"/>
  <c r="A3685" i="1"/>
  <c r="A3684" i="1"/>
  <c r="A3683" i="1"/>
  <c r="A3682" i="1"/>
  <c r="A3681" i="1"/>
  <c r="A3680" i="1"/>
  <c r="A3679" i="1"/>
  <c r="A3678" i="1"/>
  <c r="A3677" i="1"/>
  <c r="A3676" i="1"/>
  <c r="A3675" i="1"/>
  <c r="A3674" i="1"/>
  <c r="A3673" i="1"/>
  <c r="A3672" i="1"/>
  <c r="A3671" i="1"/>
  <c r="A3670" i="1"/>
  <c r="A3669" i="1"/>
  <c r="A3668" i="1"/>
  <c r="A3667" i="1"/>
  <c r="A3666" i="1"/>
  <c r="A3665" i="1"/>
  <c r="A3664" i="1"/>
  <c r="A3663" i="1"/>
  <c r="A3662" i="1"/>
  <c r="A3661" i="1"/>
  <c r="A3660" i="1"/>
  <c r="A3659" i="1"/>
  <c r="A3658" i="1"/>
  <c r="A3657" i="1"/>
  <c r="A3656" i="1"/>
  <c r="A3655" i="1"/>
  <c r="A3654" i="1"/>
  <c r="A3653" i="1"/>
  <c r="A3652" i="1"/>
  <c r="A3651" i="1"/>
  <c r="A3650" i="1"/>
  <c r="A3649" i="1"/>
  <c r="A3648" i="1"/>
  <c r="A3647" i="1"/>
  <c r="A3646" i="1"/>
  <c r="A3645" i="1"/>
  <c r="A3644" i="1"/>
  <c r="A3643" i="1"/>
  <c r="A3642" i="1"/>
  <c r="A3641" i="1"/>
  <c r="A3640" i="1"/>
  <c r="A3639" i="1"/>
  <c r="A3638" i="1"/>
  <c r="A3637" i="1"/>
  <c r="A3636" i="1"/>
  <c r="A3635" i="1"/>
  <c r="A3634" i="1"/>
  <c r="A3633" i="1"/>
  <c r="A3632" i="1"/>
  <c r="A3631" i="1"/>
  <c r="A3630" i="1"/>
  <c r="A3629" i="1"/>
  <c r="A3628" i="1"/>
  <c r="A3627" i="1"/>
  <c r="A3626" i="1"/>
  <c r="A3625" i="1"/>
  <c r="A3624" i="1"/>
  <c r="A3623" i="1"/>
  <c r="A3622" i="1"/>
  <c r="A3621" i="1"/>
  <c r="A3620" i="1"/>
  <c r="A3619" i="1"/>
  <c r="A3618" i="1"/>
  <c r="A3617" i="1"/>
  <c r="A3616" i="1"/>
  <c r="A3615" i="1"/>
  <c r="A3614" i="1"/>
  <c r="A3613" i="1"/>
  <c r="A3612" i="1"/>
  <c r="A3611" i="1"/>
  <c r="A3610" i="1"/>
  <c r="A3609" i="1"/>
  <c r="A3608" i="1"/>
  <c r="A3607" i="1"/>
  <c r="A3606" i="1"/>
  <c r="A3605" i="1"/>
  <c r="A3604" i="1"/>
  <c r="A3603" i="1"/>
  <c r="A3602" i="1"/>
  <c r="A3601" i="1"/>
  <c r="A3600" i="1"/>
  <c r="A3599" i="1"/>
  <c r="A3598" i="1"/>
  <c r="A3597" i="1"/>
  <c r="A3596" i="1"/>
  <c r="A3595" i="1"/>
  <c r="A3594" i="1"/>
  <c r="A3593" i="1"/>
  <c r="A3592" i="1"/>
  <c r="A3591" i="1"/>
  <c r="A3590" i="1"/>
  <c r="A3589" i="1"/>
  <c r="A3588" i="1"/>
  <c r="A3587" i="1"/>
  <c r="A3586" i="1"/>
  <c r="A3585" i="1"/>
  <c r="A3584" i="1"/>
  <c r="A3583" i="1"/>
  <c r="A3582" i="1"/>
  <c r="A3581" i="1"/>
  <c r="A3580" i="1"/>
  <c r="A3579" i="1"/>
  <c r="A3578" i="1"/>
  <c r="A3577" i="1"/>
  <c r="A3576" i="1"/>
  <c r="A3575" i="1"/>
  <c r="A3574" i="1"/>
  <c r="A3573" i="1"/>
  <c r="A3572" i="1"/>
  <c r="A3571" i="1"/>
  <c r="A3570" i="1"/>
  <c r="A3569" i="1"/>
  <c r="A3568" i="1"/>
  <c r="A3567" i="1"/>
  <c r="A3566" i="1"/>
  <c r="A3565" i="1"/>
  <c r="A3564" i="1"/>
  <c r="A3563" i="1"/>
  <c r="A3562" i="1"/>
  <c r="A3561" i="1"/>
  <c r="A3560" i="1"/>
  <c r="A3559" i="1"/>
  <c r="A3558" i="1"/>
  <c r="A3557" i="1"/>
  <c r="A3556" i="1"/>
  <c r="A3555" i="1"/>
  <c r="A3554" i="1"/>
  <c r="A3553" i="1"/>
  <c r="A3552" i="1"/>
  <c r="A3551" i="1"/>
  <c r="A3550" i="1"/>
  <c r="A3549" i="1"/>
  <c r="A3548" i="1"/>
  <c r="A3547" i="1"/>
  <c r="A3546" i="1"/>
  <c r="A3545" i="1"/>
  <c r="A3544" i="1"/>
  <c r="A3543" i="1"/>
  <c r="A3542" i="1"/>
  <c r="A3541" i="1"/>
  <c r="A3540" i="1"/>
  <c r="A3539" i="1"/>
  <c r="A3538" i="1"/>
  <c r="A3537" i="1"/>
  <c r="A3536" i="1"/>
  <c r="A3535" i="1"/>
  <c r="A3534" i="1"/>
  <c r="A3533" i="1"/>
  <c r="A3532" i="1"/>
  <c r="A3531" i="1"/>
  <c r="A3530" i="1"/>
  <c r="A3529" i="1"/>
  <c r="A3528" i="1"/>
  <c r="A3527" i="1"/>
  <c r="A3526" i="1"/>
  <c r="A3525" i="1"/>
  <c r="A3524" i="1"/>
  <c r="A3523" i="1"/>
  <c r="A3522" i="1"/>
  <c r="A3521" i="1"/>
  <c r="A3520" i="1"/>
  <c r="A3519" i="1"/>
  <c r="A3518" i="1"/>
  <c r="A3517" i="1"/>
  <c r="A3516" i="1"/>
  <c r="A3515" i="1"/>
  <c r="A3514" i="1"/>
  <c r="A3513" i="1"/>
  <c r="A3512" i="1"/>
  <c r="A3511" i="1"/>
  <c r="A3510" i="1"/>
  <c r="A3509" i="1"/>
  <c r="A3508" i="1"/>
  <c r="A3507" i="1"/>
  <c r="A3506" i="1"/>
  <c r="A3505" i="1"/>
  <c r="A3504" i="1"/>
  <c r="A3503" i="1"/>
  <c r="A3502" i="1"/>
  <c r="A3501" i="1"/>
  <c r="A3500" i="1"/>
  <c r="A3499" i="1"/>
  <c r="A3498" i="1"/>
  <c r="A3497" i="1"/>
  <c r="A3496" i="1"/>
  <c r="A3495" i="1"/>
  <c r="A3494" i="1"/>
  <c r="A3493" i="1"/>
  <c r="A3492" i="1"/>
  <c r="A3491" i="1"/>
  <c r="A3490" i="1"/>
  <c r="A3489" i="1"/>
  <c r="A3488" i="1"/>
  <c r="A3487" i="1"/>
  <c r="A3486" i="1"/>
  <c r="A3485" i="1"/>
  <c r="A3484" i="1"/>
  <c r="A3483" i="1"/>
  <c r="A3482" i="1"/>
  <c r="A3481" i="1"/>
  <c r="A3480" i="1"/>
  <c r="A3479" i="1"/>
  <c r="A3478" i="1"/>
  <c r="A3477" i="1"/>
  <c r="A3476" i="1"/>
  <c r="A3475" i="1"/>
  <c r="A3474" i="1"/>
  <c r="A3473" i="1"/>
  <c r="A3472" i="1"/>
  <c r="A3471" i="1"/>
  <c r="A3470" i="1"/>
  <c r="A3469" i="1"/>
  <c r="A3468" i="1"/>
  <c r="A3467" i="1"/>
  <c r="A3466" i="1"/>
  <c r="A3465" i="1"/>
  <c r="A3464" i="1"/>
  <c r="A3463" i="1"/>
  <c r="A3462" i="1"/>
  <c r="A3461" i="1"/>
  <c r="A3460" i="1"/>
  <c r="A3459" i="1"/>
  <c r="A3458" i="1"/>
  <c r="A3457" i="1"/>
  <c r="A3456" i="1"/>
  <c r="A3455" i="1"/>
  <c r="A3454" i="1"/>
  <c r="A3453" i="1"/>
  <c r="A3452" i="1"/>
  <c r="A3451" i="1"/>
  <c r="A3450" i="1"/>
  <c r="A3449" i="1"/>
  <c r="A3448" i="1"/>
  <c r="A3447" i="1"/>
  <c r="A3446" i="1"/>
  <c r="A3445" i="1"/>
  <c r="A3444" i="1"/>
  <c r="A3443" i="1"/>
  <c r="A3442" i="1"/>
  <c r="A3441" i="1"/>
  <c r="A3440" i="1"/>
  <c r="A3439" i="1"/>
  <c r="A3438" i="1"/>
  <c r="A3437" i="1"/>
  <c r="A3436" i="1"/>
  <c r="A3435" i="1"/>
  <c r="A3434" i="1"/>
  <c r="A3433" i="1"/>
  <c r="A3432" i="1"/>
  <c r="A3431" i="1"/>
  <c r="A3430" i="1"/>
  <c r="A3429" i="1"/>
  <c r="A3428" i="1"/>
  <c r="A3427" i="1"/>
  <c r="A3426" i="1"/>
  <c r="A3425" i="1"/>
  <c r="A3424" i="1"/>
  <c r="A3423" i="1"/>
  <c r="A3422" i="1"/>
  <c r="A3421" i="1"/>
  <c r="A3420" i="1"/>
  <c r="A3419" i="1"/>
  <c r="A3418" i="1"/>
  <c r="A3417" i="1"/>
  <c r="A3416" i="1"/>
  <c r="A3415" i="1"/>
  <c r="A3414" i="1"/>
  <c r="A3413" i="1"/>
  <c r="A3412" i="1"/>
  <c r="A3411" i="1"/>
  <c r="A3410" i="1"/>
  <c r="A3409" i="1"/>
  <c r="A3408" i="1"/>
  <c r="A3407" i="1"/>
  <c r="A3406" i="1"/>
  <c r="A3405" i="1"/>
  <c r="A3404" i="1"/>
  <c r="A3403" i="1"/>
  <c r="A3402" i="1"/>
  <c r="A3401" i="1"/>
  <c r="A3400" i="1"/>
  <c r="A3399" i="1"/>
  <c r="A3398" i="1"/>
  <c r="A3397" i="1"/>
  <c r="A3396" i="1"/>
  <c r="A3395" i="1"/>
  <c r="A3394" i="1"/>
  <c r="A3393" i="1"/>
  <c r="A3392" i="1"/>
  <c r="A3391" i="1"/>
  <c r="A3390" i="1"/>
  <c r="A3389" i="1"/>
  <c r="A3388" i="1"/>
  <c r="A3387" i="1"/>
  <c r="A3386" i="1"/>
  <c r="A3385" i="1"/>
  <c r="A3384" i="1"/>
  <c r="A3383" i="1"/>
  <c r="A3382" i="1"/>
  <c r="A3381" i="1"/>
  <c r="A3380" i="1"/>
  <c r="A3379" i="1"/>
  <c r="A3378" i="1"/>
  <c r="A3377" i="1"/>
  <c r="A3376" i="1"/>
  <c r="A3375" i="1"/>
  <c r="A3374" i="1"/>
  <c r="A3373" i="1"/>
  <c r="A3372" i="1"/>
  <c r="A3371" i="1"/>
  <c r="A3370" i="1"/>
  <c r="A3369" i="1"/>
  <c r="A3368" i="1"/>
  <c r="A3367" i="1"/>
  <c r="A3366" i="1"/>
  <c r="A3365" i="1"/>
  <c r="A3364" i="1"/>
  <c r="A3363" i="1"/>
  <c r="A3362" i="1"/>
  <c r="A3361" i="1"/>
  <c r="A3360" i="1"/>
  <c r="A3359" i="1"/>
  <c r="A3358" i="1"/>
  <c r="A3357" i="1"/>
  <c r="A3356" i="1"/>
  <c r="A3355" i="1"/>
  <c r="A3354" i="1"/>
  <c r="A3353" i="1"/>
  <c r="A3352" i="1"/>
  <c r="A3351" i="1"/>
  <c r="A3350" i="1"/>
  <c r="A3349" i="1"/>
  <c r="A3348" i="1"/>
  <c r="A3347" i="1"/>
  <c r="A3346" i="1"/>
  <c r="A3345" i="1"/>
  <c r="A3344" i="1"/>
  <c r="A3343" i="1"/>
  <c r="A3342" i="1"/>
  <c r="A3341" i="1"/>
  <c r="A3340" i="1"/>
  <c r="A3339" i="1"/>
  <c r="A3338" i="1"/>
  <c r="A3337" i="1"/>
  <c r="A3336" i="1"/>
  <c r="A3335" i="1"/>
  <c r="A3334" i="1"/>
  <c r="A3333" i="1"/>
  <c r="A3332" i="1"/>
  <c r="A3331" i="1"/>
  <c r="A3330" i="1"/>
  <c r="A3329" i="1"/>
  <c r="A3328" i="1"/>
  <c r="A3327" i="1"/>
  <c r="A3326" i="1"/>
  <c r="A3325" i="1"/>
  <c r="A3324" i="1"/>
  <c r="A3323" i="1"/>
  <c r="A3322" i="1"/>
  <c r="A3321" i="1"/>
  <c r="A3320" i="1"/>
  <c r="A3319" i="1"/>
  <c r="A3318" i="1"/>
  <c r="A3317" i="1"/>
  <c r="A3316" i="1"/>
  <c r="A3315" i="1"/>
  <c r="A3314" i="1"/>
  <c r="A3313" i="1"/>
  <c r="A3312" i="1"/>
  <c r="A3311" i="1"/>
  <c r="A3310" i="1"/>
  <c r="A3309" i="1"/>
  <c r="A3308" i="1"/>
  <c r="A3307" i="1"/>
  <c r="A3306" i="1"/>
  <c r="A3305" i="1"/>
  <c r="A3304" i="1"/>
  <c r="A3303" i="1"/>
  <c r="A3302" i="1"/>
  <c r="A3301" i="1"/>
  <c r="A3300" i="1"/>
  <c r="A3299" i="1"/>
  <c r="A3298" i="1"/>
  <c r="A3297" i="1"/>
  <c r="A3296" i="1"/>
  <c r="A3295" i="1"/>
  <c r="A3294" i="1"/>
  <c r="A3293" i="1"/>
  <c r="A3292" i="1"/>
  <c r="A3291" i="1"/>
  <c r="A3290" i="1"/>
  <c r="A3289" i="1"/>
  <c r="A3288" i="1"/>
  <c r="A3287" i="1"/>
  <c r="A3286" i="1"/>
  <c r="A3285" i="1"/>
  <c r="A3284" i="1"/>
  <c r="A3283" i="1"/>
  <c r="A3282" i="1"/>
  <c r="A3281" i="1"/>
  <c r="A3280" i="1"/>
  <c r="A3279" i="1"/>
  <c r="A3278" i="1"/>
  <c r="A3277" i="1"/>
  <c r="A3276" i="1"/>
  <c r="A3275" i="1"/>
  <c r="A3274" i="1"/>
  <c r="A3273" i="1"/>
  <c r="A3272" i="1"/>
  <c r="A3271" i="1"/>
  <c r="A3270" i="1"/>
  <c r="A3269" i="1"/>
  <c r="A3268" i="1"/>
  <c r="A3267" i="1"/>
  <c r="A3266" i="1"/>
  <c r="A3265" i="1"/>
  <c r="A3264" i="1"/>
  <c r="A3263" i="1"/>
  <c r="A3262" i="1"/>
  <c r="A3261" i="1"/>
  <c r="A3260" i="1"/>
  <c r="A3259" i="1"/>
  <c r="A3258" i="1"/>
  <c r="A3257" i="1"/>
  <c r="A3256" i="1"/>
  <c r="A3255" i="1"/>
  <c r="A3254" i="1"/>
  <c r="A3253" i="1"/>
  <c r="A3252" i="1"/>
  <c r="A3251" i="1"/>
  <c r="A3250" i="1"/>
  <c r="A3249" i="1"/>
  <c r="A3248" i="1"/>
  <c r="A3247" i="1"/>
  <c r="A3246" i="1"/>
  <c r="A3245" i="1"/>
  <c r="A3244" i="1"/>
  <c r="A3243" i="1"/>
  <c r="A3242" i="1"/>
  <c r="A3241" i="1"/>
  <c r="A3240" i="1"/>
  <c r="A3239" i="1"/>
  <c r="A3238" i="1"/>
  <c r="A3237" i="1"/>
  <c r="A3236" i="1"/>
  <c r="A3235" i="1"/>
  <c r="A3234" i="1"/>
  <c r="A3233" i="1"/>
  <c r="A3232" i="1"/>
  <c r="A3231" i="1"/>
  <c r="A3230" i="1"/>
  <c r="A3229" i="1"/>
  <c r="A3228" i="1"/>
  <c r="A3227" i="1"/>
  <c r="A3226" i="1"/>
  <c r="A3225" i="1"/>
  <c r="A3224" i="1"/>
  <c r="A3223" i="1"/>
  <c r="A3222" i="1"/>
  <c r="A3221" i="1"/>
  <c r="A3220" i="1"/>
  <c r="A3219" i="1"/>
  <c r="A3218" i="1"/>
  <c r="A3217" i="1"/>
  <c r="A3216" i="1"/>
  <c r="A3215" i="1"/>
  <c r="A3214" i="1"/>
  <c r="A3213" i="1"/>
  <c r="A3212" i="1"/>
  <c r="A3211" i="1"/>
  <c r="A3210" i="1"/>
  <c r="A3209" i="1"/>
  <c r="A3208" i="1"/>
  <c r="A3207" i="1"/>
  <c r="A3206" i="1"/>
  <c r="A3205" i="1"/>
  <c r="A3204" i="1"/>
  <c r="A3203" i="1"/>
  <c r="A3202" i="1"/>
  <c r="A3201" i="1"/>
  <c r="A3200" i="1"/>
  <c r="A3199" i="1"/>
  <c r="A3198" i="1"/>
  <c r="A3197" i="1"/>
  <c r="A3196" i="1"/>
  <c r="A3195" i="1"/>
  <c r="A3194" i="1"/>
  <c r="A3193" i="1"/>
  <c r="A3192" i="1"/>
  <c r="A3191" i="1"/>
  <c r="A3190" i="1"/>
  <c r="A3189" i="1"/>
  <c r="A3188" i="1"/>
  <c r="A3187" i="1"/>
  <c r="A3186" i="1"/>
  <c r="A3185" i="1"/>
  <c r="A3184" i="1"/>
  <c r="A3183" i="1"/>
  <c r="A3182" i="1"/>
  <c r="A3181" i="1"/>
  <c r="A3180" i="1"/>
  <c r="A3179" i="1"/>
  <c r="A3178" i="1"/>
  <c r="A3177" i="1"/>
  <c r="A3176" i="1"/>
  <c r="A3175" i="1"/>
  <c r="A3174" i="1"/>
  <c r="A3173" i="1"/>
  <c r="A3172" i="1"/>
  <c r="A3171" i="1"/>
  <c r="A3170" i="1"/>
  <c r="A3169" i="1"/>
  <c r="A3168" i="1"/>
  <c r="A3167" i="1"/>
  <c r="A3166" i="1"/>
  <c r="A3165" i="1"/>
  <c r="A3164" i="1"/>
  <c r="A3163" i="1"/>
  <c r="A3162" i="1"/>
  <c r="A3161" i="1"/>
  <c r="A3160" i="1"/>
  <c r="A3159" i="1"/>
  <c r="A3158" i="1"/>
  <c r="A3157" i="1"/>
  <c r="A3156" i="1"/>
  <c r="A3155" i="1"/>
  <c r="A3154" i="1"/>
  <c r="A3153" i="1"/>
  <c r="A3152" i="1"/>
  <c r="A3151" i="1"/>
  <c r="A3150" i="1"/>
  <c r="A3149" i="1"/>
  <c r="A3148" i="1"/>
  <c r="A3147" i="1"/>
  <c r="A3146" i="1"/>
  <c r="A3145" i="1"/>
  <c r="A3144" i="1"/>
  <c r="A3143" i="1"/>
  <c r="A3142" i="1"/>
  <c r="A3141" i="1"/>
  <c r="A3140" i="1"/>
  <c r="A3139" i="1"/>
  <c r="A3138" i="1"/>
  <c r="A3137" i="1"/>
  <c r="A3136" i="1"/>
  <c r="A3135" i="1"/>
  <c r="A3134" i="1"/>
  <c r="A3133" i="1"/>
  <c r="A3132" i="1"/>
  <c r="A3131" i="1"/>
  <c r="A3130" i="1"/>
  <c r="A3129" i="1"/>
  <c r="A3128" i="1"/>
  <c r="A3127" i="1"/>
  <c r="A3126" i="1"/>
  <c r="A3125" i="1"/>
  <c r="A3124" i="1"/>
  <c r="A3123" i="1"/>
  <c r="A3122" i="1"/>
  <c r="A3121" i="1"/>
  <c r="A3120" i="1"/>
  <c r="A3119" i="1"/>
  <c r="A3118" i="1"/>
  <c r="A3117" i="1"/>
  <c r="A3116" i="1"/>
  <c r="A3115" i="1"/>
  <c r="A3114" i="1"/>
  <c r="A3113" i="1"/>
  <c r="A3112" i="1"/>
  <c r="A3111" i="1"/>
  <c r="A3110" i="1"/>
  <c r="A3109" i="1"/>
  <c r="A3108" i="1"/>
  <c r="A3107" i="1"/>
  <c r="A3106" i="1"/>
  <c r="A3105" i="1"/>
  <c r="A3104" i="1"/>
  <c r="A3103" i="1"/>
  <c r="A3102" i="1"/>
  <c r="A3101" i="1"/>
  <c r="A3100" i="1"/>
  <c r="A3099" i="1"/>
  <c r="A3098" i="1"/>
  <c r="A3097" i="1"/>
  <c r="A3096" i="1"/>
  <c r="A3095" i="1"/>
  <c r="A3094" i="1"/>
  <c r="A3093" i="1"/>
  <c r="A3092" i="1"/>
  <c r="A3091" i="1"/>
  <c r="A3090" i="1"/>
  <c r="A3089" i="1"/>
  <c r="A3088" i="1"/>
  <c r="A3087" i="1"/>
  <c r="A3086" i="1"/>
  <c r="A3085" i="1"/>
  <c r="A3084" i="1"/>
  <c r="A3083" i="1"/>
  <c r="A3082" i="1"/>
  <c r="A3081" i="1"/>
  <c r="A3080" i="1"/>
  <c r="A3079" i="1"/>
  <c r="A3078" i="1"/>
  <c r="A3077" i="1"/>
  <c r="A3076" i="1"/>
  <c r="A3075" i="1"/>
  <c r="A3074" i="1"/>
  <c r="A3073" i="1"/>
  <c r="A3072" i="1"/>
  <c r="A3071" i="1"/>
  <c r="A3070" i="1"/>
  <c r="A3069" i="1"/>
  <c r="A3068" i="1"/>
  <c r="A3067" i="1"/>
  <c r="A3066" i="1"/>
  <c r="A3065" i="1"/>
  <c r="A3064" i="1"/>
  <c r="A3063" i="1"/>
  <c r="A3062" i="1"/>
  <c r="A3061" i="1"/>
  <c r="A3060" i="1"/>
  <c r="A3059" i="1"/>
  <c r="A3058" i="1"/>
  <c r="A3057" i="1"/>
  <c r="A3056" i="1"/>
  <c r="A3055" i="1"/>
  <c r="A3054" i="1"/>
  <c r="A3053" i="1"/>
  <c r="A3052" i="1"/>
  <c r="A3051" i="1"/>
  <c r="A3050" i="1"/>
  <c r="A3049" i="1"/>
  <c r="A3048" i="1"/>
  <c r="A3047" i="1"/>
  <c r="A3046" i="1"/>
  <c r="A3045" i="1"/>
  <c r="A3044" i="1"/>
  <c r="A3043" i="1"/>
  <c r="A3042" i="1"/>
  <c r="A3041" i="1"/>
  <c r="A3040" i="1"/>
  <c r="A3039" i="1"/>
  <c r="A3038" i="1"/>
  <c r="A3037" i="1"/>
  <c r="A3036" i="1"/>
  <c r="A3035" i="1"/>
  <c r="A3034" i="1"/>
  <c r="A3033" i="1"/>
  <c r="A3032" i="1"/>
  <c r="A3031" i="1"/>
  <c r="A3030" i="1"/>
  <c r="A3029" i="1"/>
  <c r="A3028" i="1"/>
  <c r="A3027" i="1"/>
  <c r="A3026" i="1"/>
  <c r="A3025" i="1"/>
  <c r="A3024" i="1"/>
  <c r="A3023" i="1"/>
  <c r="A3022" i="1"/>
  <c r="A3021" i="1"/>
  <c r="A3020" i="1"/>
  <c r="A3019" i="1"/>
  <c r="A3018" i="1"/>
  <c r="A3017" i="1"/>
  <c r="A3016" i="1"/>
  <c r="A3015" i="1"/>
  <c r="A3014" i="1"/>
  <c r="A3013" i="1"/>
  <c r="A3012" i="1"/>
  <c r="A3011" i="1"/>
  <c r="A3010" i="1"/>
  <c r="A3009" i="1"/>
  <c r="A3008" i="1"/>
  <c r="A3007" i="1"/>
  <c r="A3006" i="1"/>
  <c r="A3005" i="1"/>
  <c r="A3004" i="1"/>
  <c r="A3003" i="1"/>
  <c r="A3002" i="1"/>
  <c r="A3001" i="1"/>
  <c r="A3000" i="1"/>
  <c r="A2999" i="1"/>
  <c r="A2998" i="1"/>
  <c r="A2997" i="1"/>
  <c r="A2996" i="1"/>
  <c r="A2995" i="1"/>
  <c r="A2994" i="1"/>
  <c r="A2993" i="1"/>
  <c r="A2992" i="1"/>
  <c r="A2991" i="1"/>
  <c r="A2990" i="1"/>
  <c r="A2989" i="1"/>
  <c r="A2988" i="1"/>
  <c r="A2987" i="1"/>
  <c r="A2986" i="1"/>
  <c r="A2985" i="1"/>
  <c r="A2984" i="1"/>
  <c r="A2983" i="1"/>
  <c r="A2982" i="1"/>
  <c r="A2981" i="1"/>
  <c r="A2980" i="1"/>
  <c r="A2979" i="1"/>
  <c r="A2978" i="1"/>
  <c r="A2977" i="1"/>
  <c r="A2976" i="1"/>
  <c r="A2975" i="1"/>
  <c r="A2974" i="1"/>
  <c r="A2973" i="1"/>
  <c r="A2972" i="1"/>
  <c r="A2971" i="1"/>
  <c r="A2970" i="1"/>
  <c r="A2969" i="1"/>
  <c r="A2968" i="1"/>
  <c r="A2967" i="1"/>
  <c r="A2966" i="1"/>
  <c r="A2965" i="1"/>
  <c r="A2964" i="1"/>
  <c r="A2963" i="1"/>
  <c r="A2962" i="1"/>
  <c r="A2961" i="1"/>
  <c r="A2960" i="1"/>
  <c r="A2959" i="1"/>
  <c r="A2958" i="1"/>
  <c r="A2957" i="1"/>
  <c r="A2956" i="1"/>
  <c r="A2955" i="1"/>
  <c r="A2954" i="1"/>
  <c r="A2953" i="1"/>
  <c r="A2952" i="1"/>
  <c r="A2951" i="1"/>
  <c r="A2950" i="1"/>
  <c r="A2949" i="1"/>
  <c r="A2948" i="1"/>
  <c r="A2947" i="1"/>
  <c r="A2946" i="1"/>
  <c r="A2945" i="1"/>
  <c r="A2944" i="1"/>
  <c r="A2943" i="1"/>
  <c r="A2942" i="1"/>
  <c r="A2941" i="1"/>
  <c r="A2940" i="1"/>
  <c r="A2939" i="1"/>
  <c r="A2938" i="1"/>
  <c r="A2937" i="1"/>
  <c r="A2936" i="1"/>
  <c r="A2935" i="1"/>
  <c r="A2934" i="1"/>
  <c r="A2933" i="1"/>
  <c r="A2932" i="1"/>
  <c r="A2931" i="1"/>
  <c r="A2930" i="1"/>
  <c r="A2929" i="1"/>
  <c r="A2928" i="1"/>
  <c r="A2927" i="1"/>
  <c r="A2926" i="1"/>
  <c r="A2925" i="1"/>
  <c r="A2924" i="1"/>
  <c r="A2923" i="1"/>
  <c r="A2922" i="1"/>
  <c r="A2921" i="1"/>
  <c r="A2920" i="1"/>
  <c r="A2919" i="1"/>
  <c r="A2918" i="1"/>
  <c r="A2917" i="1"/>
  <c r="A2916" i="1"/>
  <c r="A2915" i="1"/>
  <c r="A2914" i="1"/>
  <c r="A2913" i="1"/>
  <c r="A2912" i="1"/>
  <c r="A2911" i="1"/>
  <c r="A2910" i="1"/>
  <c r="A2909" i="1"/>
  <c r="A2908" i="1"/>
  <c r="A2907" i="1"/>
  <c r="A2906" i="1"/>
  <c r="A2905" i="1"/>
  <c r="A2904" i="1"/>
  <c r="A2903" i="1"/>
  <c r="A2902" i="1"/>
  <c r="A2901" i="1"/>
  <c r="A2900" i="1"/>
  <c r="A2899" i="1"/>
  <c r="A2898" i="1"/>
  <c r="A2897" i="1"/>
  <c r="A2896" i="1"/>
  <c r="A2895" i="1"/>
  <c r="A2894" i="1"/>
  <c r="A2893" i="1"/>
  <c r="A2892" i="1"/>
  <c r="A2891" i="1"/>
  <c r="A2890" i="1"/>
  <c r="A2889" i="1"/>
  <c r="A2888" i="1"/>
  <c r="A2887" i="1"/>
  <c r="A2886" i="1"/>
  <c r="A2885" i="1"/>
  <c r="A2884" i="1"/>
  <c r="A2883" i="1"/>
  <c r="A2882" i="1"/>
  <c r="A2881" i="1"/>
  <c r="A2880" i="1"/>
  <c r="A2879" i="1"/>
  <c r="A2878" i="1"/>
  <c r="A2877" i="1"/>
  <c r="A2876" i="1"/>
  <c r="A2875" i="1"/>
  <c r="A2874" i="1"/>
  <c r="A2873" i="1"/>
  <c r="A2872" i="1"/>
  <c r="A2871" i="1"/>
  <c r="A2870" i="1"/>
  <c r="A2869" i="1"/>
  <c r="A2868" i="1"/>
  <c r="A2867" i="1"/>
  <c r="A2866" i="1"/>
  <c r="A2865" i="1"/>
  <c r="A2864" i="1"/>
  <c r="A2863" i="1"/>
  <c r="A2862" i="1"/>
  <c r="A2861" i="1"/>
  <c r="A2860" i="1"/>
  <c r="A2859" i="1"/>
  <c r="A2858" i="1"/>
  <c r="A2857" i="1"/>
  <c r="A2856" i="1"/>
  <c r="A2855" i="1"/>
  <c r="A2854" i="1"/>
  <c r="A2853" i="1"/>
  <c r="A2852" i="1"/>
  <c r="A2851" i="1"/>
  <c r="A2850" i="1"/>
  <c r="A2849" i="1"/>
  <c r="A2848" i="1"/>
  <c r="A2847" i="1"/>
  <c r="A2846" i="1"/>
  <c r="A2845" i="1"/>
  <c r="A2844" i="1"/>
  <c r="A2843" i="1"/>
  <c r="A2842" i="1"/>
  <c r="A2841" i="1"/>
  <c r="A2840" i="1"/>
  <c r="A2839" i="1"/>
  <c r="A2838" i="1"/>
  <c r="A2837" i="1"/>
  <c r="A2836" i="1"/>
  <c r="A2835" i="1"/>
  <c r="A2834" i="1"/>
  <c r="A2833" i="1"/>
  <c r="A2832" i="1"/>
  <c r="A2831" i="1"/>
  <c r="A2830" i="1"/>
  <c r="A2829" i="1"/>
  <c r="A2828" i="1"/>
  <c r="A2827" i="1"/>
  <c r="A2826" i="1"/>
  <c r="A2825" i="1"/>
  <c r="A2824" i="1"/>
  <c r="A2823" i="1"/>
  <c r="A2822" i="1"/>
  <c r="A2821" i="1"/>
  <c r="A2820" i="1"/>
  <c r="A2819" i="1"/>
  <c r="A2818" i="1"/>
  <c r="A2817" i="1"/>
  <c r="A2816" i="1"/>
  <c r="A2815" i="1"/>
  <c r="A2814" i="1"/>
  <c r="A2813" i="1"/>
  <c r="A2812" i="1"/>
  <c r="A2811" i="1"/>
  <c r="A2810" i="1"/>
  <c r="A2809" i="1"/>
  <c r="A2808" i="1"/>
  <c r="A2807" i="1"/>
  <c r="A2806" i="1"/>
  <c r="A2805" i="1"/>
  <c r="A2804" i="1"/>
  <c r="A2803" i="1"/>
  <c r="A2802" i="1"/>
  <c r="A2801" i="1"/>
  <c r="A2800" i="1"/>
  <c r="A2799" i="1"/>
  <c r="A2798" i="1"/>
  <c r="A2797" i="1"/>
  <c r="A2796" i="1"/>
  <c r="A2795" i="1"/>
  <c r="A2794" i="1"/>
  <c r="A2793" i="1"/>
  <c r="A2792" i="1"/>
  <c r="A2791" i="1"/>
  <c r="A2790" i="1"/>
  <c r="A2789" i="1"/>
  <c r="A2787" i="1"/>
  <c r="A2786" i="1"/>
  <c r="A2785" i="1"/>
  <c r="A2784" i="1"/>
  <c r="A2783" i="1"/>
  <c r="A2782" i="1"/>
  <c r="A2781" i="1"/>
  <c r="A2780" i="1"/>
  <c r="A2779" i="1"/>
  <c r="A2778" i="1"/>
  <c r="A2777" i="1"/>
  <c r="A2776" i="1"/>
  <c r="A2775" i="1"/>
  <c r="A2774" i="1"/>
  <c r="A2773" i="1"/>
  <c r="A2772" i="1"/>
  <c r="A2771" i="1"/>
  <c r="A2770" i="1"/>
  <c r="A2769" i="1"/>
  <c r="A2768" i="1"/>
  <c r="A2767" i="1"/>
  <c r="A2766" i="1"/>
  <c r="A2765" i="1"/>
  <c r="A2764" i="1"/>
  <c r="A2763" i="1"/>
  <c r="A2762" i="1"/>
  <c r="A2761" i="1"/>
  <c r="A2760" i="1"/>
  <c r="A2759" i="1"/>
  <c r="A2758" i="1"/>
  <c r="A2757" i="1"/>
  <c r="A2756" i="1"/>
  <c r="A2755" i="1"/>
  <c r="A2754" i="1"/>
  <c r="A2753" i="1"/>
  <c r="A2752" i="1"/>
  <c r="A2751" i="1"/>
  <c r="A2750" i="1"/>
  <c r="A2749" i="1"/>
  <c r="A2748" i="1"/>
  <c r="A2747" i="1"/>
  <c r="A2746" i="1"/>
  <c r="A2745" i="1"/>
  <c r="A2744" i="1"/>
  <c r="A2743" i="1"/>
  <c r="A2742" i="1"/>
  <c r="A2741" i="1"/>
  <c r="A2740" i="1"/>
  <c r="A2739" i="1"/>
  <c r="A2738" i="1"/>
  <c r="A2737" i="1"/>
  <c r="A2736" i="1"/>
  <c r="A2735" i="1"/>
  <c r="A2734" i="1"/>
  <c r="A2733" i="1"/>
  <c r="A2732" i="1"/>
  <c r="A2731" i="1"/>
  <c r="A2730" i="1"/>
  <c r="A2729" i="1"/>
  <c r="A2728" i="1"/>
  <c r="A2727" i="1"/>
  <c r="A2726" i="1"/>
  <c r="A2725" i="1"/>
  <c r="A2724" i="1"/>
  <c r="A2723" i="1"/>
  <c r="A2722" i="1"/>
  <c r="A2721" i="1"/>
  <c r="A2720" i="1"/>
  <c r="A2719" i="1"/>
  <c r="A2718" i="1"/>
  <c r="A2717" i="1"/>
  <c r="A2716" i="1"/>
  <c r="A2715" i="1"/>
  <c r="A2714" i="1"/>
  <c r="A2713" i="1"/>
  <c r="A2712" i="1"/>
  <c r="A2711" i="1"/>
  <c r="A2710" i="1"/>
  <c r="A2709" i="1"/>
  <c r="A2708" i="1"/>
  <c r="A2707" i="1"/>
  <c r="A2706" i="1"/>
  <c r="A2705" i="1"/>
  <c r="A2704" i="1"/>
  <c r="A2703" i="1"/>
  <c r="A2702" i="1"/>
  <c r="A2701" i="1"/>
  <c r="A2700" i="1"/>
  <c r="A2699" i="1"/>
  <c r="A2698" i="1"/>
  <c r="A2697" i="1"/>
  <c r="A2696" i="1"/>
  <c r="A2695" i="1"/>
  <c r="A2694" i="1"/>
  <c r="A2693" i="1"/>
  <c r="A2692" i="1"/>
  <c r="A2691" i="1"/>
  <c r="A2690" i="1"/>
  <c r="A2689" i="1"/>
  <c r="A2688" i="1"/>
  <c r="A2687" i="1"/>
  <c r="A2686" i="1"/>
  <c r="A2685" i="1"/>
  <c r="A2684" i="1"/>
  <c r="A2683" i="1"/>
  <c r="A2682" i="1"/>
  <c r="A2681" i="1"/>
  <c r="A2680" i="1"/>
  <c r="A2679" i="1"/>
  <c r="A2678" i="1"/>
  <c r="A2677" i="1"/>
  <c r="A2676" i="1"/>
  <c r="A2675" i="1"/>
  <c r="A2674" i="1"/>
  <c r="A2673" i="1"/>
  <c r="A2672" i="1"/>
  <c r="A2671" i="1"/>
  <c r="A2670" i="1"/>
  <c r="A2669" i="1"/>
  <c r="A2668" i="1"/>
  <c r="A2667" i="1"/>
  <c r="A2666" i="1"/>
  <c r="A2665" i="1"/>
  <c r="A2664" i="1"/>
  <c r="A2663" i="1"/>
  <c r="A2662" i="1"/>
  <c r="A2661" i="1"/>
  <c r="A2660" i="1"/>
  <c r="A2659" i="1"/>
  <c r="A2658" i="1"/>
  <c r="A2657" i="1"/>
  <c r="A2656" i="1"/>
  <c r="A2655" i="1"/>
  <c r="A2654" i="1"/>
  <c r="A2653" i="1"/>
  <c r="A2652" i="1"/>
  <c r="A2651" i="1"/>
  <c r="A2650" i="1"/>
  <c r="A2649" i="1"/>
  <c r="A2648" i="1"/>
  <c r="A2647" i="1"/>
  <c r="A2646" i="1"/>
  <c r="A2645" i="1"/>
  <c r="A2644" i="1"/>
  <c r="A2643" i="1"/>
  <c r="A2642" i="1"/>
  <c r="A2641" i="1"/>
  <c r="A2640" i="1"/>
  <c r="A2639" i="1"/>
  <c r="A2638" i="1"/>
  <c r="A2637" i="1"/>
  <c r="A2636" i="1"/>
  <c r="A2635" i="1"/>
  <c r="A2634" i="1"/>
  <c r="A2633" i="1"/>
  <c r="A2632" i="1"/>
  <c r="A2631" i="1"/>
  <c r="A2630" i="1"/>
  <c r="A2629" i="1"/>
  <c r="A2628" i="1"/>
  <c r="A2627" i="1"/>
  <c r="A2626" i="1"/>
  <c r="A2625" i="1"/>
  <c r="A2624" i="1"/>
  <c r="A2623" i="1"/>
  <c r="A2622" i="1"/>
  <c r="A2621" i="1"/>
  <c r="A2620" i="1"/>
  <c r="A2619" i="1"/>
  <c r="A2618" i="1"/>
  <c r="A2617" i="1"/>
  <c r="A2616" i="1"/>
  <c r="A2615" i="1"/>
  <c r="A2614" i="1"/>
  <c r="A2613" i="1"/>
  <c r="A2611" i="1"/>
  <c r="A2610" i="1"/>
  <c r="A2609" i="1"/>
  <c r="A2608" i="1"/>
  <c r="A2607" i="1"/>
  <c r="A2606" i="1"/>
  <c r="A2605" i="1"/>
  <c r="A2604" i="1"/>
  <c r="A2603" i="1"/>
  <c r="A2602" i="1"/>
  <c r="A2601" i="1"/>
  <c r="A2600" i="1"/>
  <c r="A2599" i="1"/>
  <c r="A2598" i="1"/>
  <c r="A2597" i="1"/>
  <c r="A2596" i="1"/>
  <c r="A2595" i="1"/>
  <c r="A2594" i="1"/>
  <c r="A2593" i="1"/>
  <c r="A2592" i="1"/>
  <c r="A2591" i="1"/>
  <c r="A2590" i="1"/>
  <c r="A2589" i="1"/>
  <c r="A2588" i="1"/>
  <c r="A2587" i="1"/>
  <c r="A2586" i="1"/>
  <c r="A2585" i="1"/>
  <c r="A2584" i="1"/>
  <c r="A2583" i="1"/>
  <c r="A2582" i="1"/>
  <c r="A2581" i="1"/>
  <c r="A2580" i="1"/>
  <c r="A2579" i="1"/>
  <c r="A2578" i="1"/>
  <c r="A2577" i="1"/>
  <c r="A2576" i="1"/>
  <c r="A2575" i="1"/>
  <c r="A2574" i="1"/>
  <c r="A2573" i="1"/>
  <c r="A2572" i="1"/>
  <c r="A2571" i="1"/>
  <c r="A2570" i="1"/>
  <c r="A2569" i="1"/>
  <c r="A2568" i="1"/>
  <c r="A2567" i="1"/>
  <c r="A2566" i="1"/>
  <c r="A2565" i="1"/>
  <c r="A2564" i="1"/>
  <c r="A2563" i="1"/>
  <c r="A2562" i="1"/>
  <c r="A2561" i="1"/>
  <c r="A2560" i="1"/>
  <c r="A2559" i="1"/>
  <c r="A2558" i="1"/>
  <c r="A2557" i="1"/>
  <c r="A2556" i="1"/>
  <c r="A2555" i="1"/>
  <c r="A2554" i="1"/>
  <c r="A2553" i="1"/>
  <c r="A2552" i="1"/>
  <c r="A2551" i="1"/>
  <c r="A2549" i="1"/>
  <c r="A2548" i="1"/>
  <c r="A2547" i="1"/>
  <c r="A2546" i="1"/>
  <c r="A2545" i="1"/>
  <c r="A2544" i="1"/>
  <c r="A2543" i="1"/>
  <c r="A2542" i="1"/>
  <c r="A2541" i="1"/>
  <c r="A2540" i="1"/>
  <c r="A2539" i="1"/>
  <c r="A2538" i="1"/>
  <c r="A2537" i="1"/>
  <c r="A2536" i="1"/>
  <c r="A2535" i="1"/>
  <c r="A2534" i="1"/>
  <c r="A2533" i="1"/>
  <c r="A2532" i="1"/>
  <c r="A2531" i="1"/>
  <c r="A2530" i="1"/>
  <c r="A2529" i="1"/>
  <c r="A2528" i="1"/>
  <c r="A2527" i="1"/>
  <c r="A2526" i="1"/>
  <c r="A2525" i="1"/>
  <c r="A2524" i="1"/>
  <c r="A2523" i="1"/>
  <c r="A2522" i="1"/>
  <c r="A2521" i="1"/>
  <c r="A2520" i="1"/>
  <c r="A2519" i="1"/>
  <c r="A2518" i="1"/>
  <c r="A2517" i="1"/>
  <c r="A2516" i="1"/>
  <c r="A2515" i="1"/>
  <c r="A2514" i="1"/>
  <c r="A2513" i="1"/>
  <c r="A2512" i="1"/>
  <c r="A2511" i="1"/>
  <c r="A2510" i="1"/>
  <c r="A2509" i="1"/>
  <c r="A2508" i="1"/>
  <c r="A2507" i="1"/>
  <c r="A2506" i="1"/>
  <c r="A2505" i="1"/>
  <c r="A2504" i="1"/>
  <c r="A2503" i="1"/>
  <c r="A2502" i="1"/>
  <c r="A2501" i="1"/>
  <c r="A2500" i="1"/>
  <c r="A2499" i="1"/>
  <c r="A2498" i="1"/>
  <c r="A2497" i="1"/>
  <c r="A2496" i="1"/>
  <c r="A2495" i="1"/>
  <c r="A2494" i="1"/>
  <c r="A2493" i="1"/>
  <c r="A2492" i="1"/>
  <c r="A2491" i="1"/>
  <c r="A2490" i="1"/>
  <c r="A2489" i="1"/>
  <c r="A2488" i="1"/>
  <c r="A2487" i="1"/>
  <c r="A2486" i="1"/>
  <c r="A2485" i="1"/>
  <c r="A2484" i="1"/>
  <c r="A2483" i="1"/>
  <c r="A2482" i="1"/>
  <c r="A2481" i="1"/>
  <c r="A2480" i="1"/>
  <c r="A2479" i="1"/>
  <c r="A2478" i="1"/>
  <c r="A2477" i="1"/>
  <c r="A2476" i="1"/>
  <c r="A2475" i="1"/>
  <c r="A2474" i="1"/>
  <c r="A2473" i="1"/>
  <c r="A2472" i="1"/>
  <c r="A2471" i="1"/>
  <c r="A2470" i="1"/>
  <c r="A2469" i="1"/>
  <c r="A2468" i="1"/>
  <c r="A2467" i="1"/>
  <c r="A2466" i="1"/>
  <c r="A2465" i="1"/>
  <c r="A2464" i="1"/>
  <c r="A2463" i="1"/>
  <c r="A2462" i="1"/>
  <c r="A2461" i="1"/>
  <c r="A2460" i="1"/>
  <c r="A2459" i="1"/>
  <c r="A2458" i="1"/>
  <c r="A2457" i="1"/>
  <c r="A2456" i="1"/>
  <c r="A2455" i="1"/>
  <c r="A2454" i="1"/>
  <c r="A2453" i="1"/>
  <c r="A2452" i="1"/>
  <c r="A2451" i="1"/>
  <c r="A2450" i="1"/>
  <c r="A2449" i="1"/>
  <c r="A2448" i="1"/>
  <c r="A2447" i="1"/>
  <c r="A2446" i="1"/>
  <c r="A2445" i="1"/>
  <c r="A2444" i="1"/>
  <c r="A2443" i="1"/>
  <c r="A2442" i="1"/>
  <c r="A2441" i="1"/>
  <c r="A2440" i="1"/>
  <c r="A2439" i="1"/>
  <c r="A2438" i="1"/>
  <c r="A2437" i="1"/>
  <c r="A2436" i="1"/>
  <c r="A2435" i="1"/>
  <c r="A2434" i="1"/>
  <c r="A2433" i="1"/>
  <c r="A2432" i="1"/>
  <c r="A2431" i="1"/>
  <c r="A2430" i="1"/>
  <c r="A2429" i="1"/>
  <c r="A2428" i="1"/>
  <c r="A2427" i="1"/>
  <c r="A2426" i="1"/>
  <c r="A2425" i="1"/>
  <c r="A2424" i="1"/>
  <c r="A2423" i="1"/>
  <c r="A2422" i="1"/>
  <c r="A2421" i="1"/>
  <c r="A2420" i="1"/>
  <c r="A2419" i="1"/>
  <c r="A2418" i="1"/>
  <c r="A2417" i="1"/>
  <c r="A2416" i="1"/>
  <c r="A2415" i="1"/>
  <c r="A2414" i="1"/>
  <c r="A2413" i="1"/>
  <c r="A2412" i="1"/>
  <c r="A2411" i="1"/>
  <c r="A2410" i="1"/>
  <c r="A2409" i="1"/>
  <c r="A2408" i="1"/>
  <c r="A2407" i="1"/>
  <c r="A2406" i="1"/>
  <c r="A2405" i="1"/>
  <c r="A2404" i="1"/>
  <c r="A2403" i="1"/>
  <c r="A2402" i="1"/>
  <c r="A2401" i="1"/>
  <c r="A2400" i="1"/>
  <c r="A2399" i="1"/>
  <c r="A2398" i="1"/>
  <c r="A2396" i="1"/>
  <c r="A2395" i="1"/>
  <c r="A2394" i="1"/>
  <c r="A2393" i="1"/>
  <c r="A2392" i="1"/>
  <c r="A2391" i="1"/>
  <c r="A2390" i="1"/>
  <c r="A2389" i="1"/>
  <c r="A2388" i="1"/>
  <c r="A2387" i="1"/>
  <c r="A2386" i="1"/>
  <c r="A2385" i="1"/>
  <c r="A2384" i="1"/>
  <c r="A2383" i="1"/>
  <c r="A2382" i="1"/>
  <c r="A2381" i="1"/>
  <c r="A2380" i="1"/>
  <c r="A2379" i="1"/>
  <c r="A2378" i="1"/>
  <c r="A2377" i="1"/>
  <c r="A2376" i="1"/>
  <c r="A2375" i="1"/>
  <c r="A2374" i="1"/>
  <c r="A2373" i="1"/>
  <c r="A2372" i="1"/>
  <c r="A2371" i="1"/>
  <c r="A2370" i="1"/>
  <c r="A2369" i="1"/>
  <c r="A2368" i="1"/>
  <c r="A2367" i="1"/>
  <c r="A2366" i="1"/>
  <c r="A2365" i="1"/>
  <c r="A2364" i="1"/>
  <c r="A2363" i="1"/>
  <c r="A2362" i="1"/>
  <c r="A2361" i="1"/>
  <c r="A2360" i="1"/>
  <c r="A2359" i="1"/>
  <c r="A2358" i="1"/>
  <c r="A2357" i="1"/>
  <c r="A2356" i="1"/>
  <c r="A2355" i="1"/>
  <c r="A2354" i="1"/>
  <c r="A2353" i="1"/>
  <c r="A2352" i="1"/>
  <c r="A2351" i="1"/>
  <c r="A2350" i="1"/>
  <c r="A2349" i="1"/>
  <c r="A2348" i="1"/>
  <c r="A2347" i="1"/>
  <c r="A2346" i="1"/>
  <c r="A2345" i="1"/>
  <c r="A2344" i="1"/>
  <c r="A2343" i="1"/>
  <c r="A2342" i="1"/>
  <c r="A2341" i="1"/>
  <c r="A2340" i="1"/>
  <c r="A2339" i="1"/>
  <c r="A2338" i="1"/>
  <c r="A2337" i="1"/>
  <c r="A2336" i="1"/>
  <c r="A2335" i="1"/>
  <c r="A2334" i="1"/>
  <c r="A2333" i="1"/>
  <c r="A2332" i="1"/>
  <c r="A2331" i="1"/>
  <c r="A2330" i="1"/>
  <c r="A2329" i="1"/>
  <c r="A2328" i="1"/>
  <c r="A2327" i="1"/>
  <c r="A2326" i="1"/>
  <c r="A2325" i="1"/>
  <c r="A2324" i="1"/>
  <c r="A2323" i="1"/>
  <c r="A2322" i="1"/>
  <c r="A2321" i="1"/>
  <c r="A2320" i="1"/>
  <c r="A2319" i="1"/>
  <c r="A2318" i="1"/>
  <c r="A2317" i="1"/>
  <c r="A2316" i="1"/>
  <c r="A2315" i="1"/>
  <c r="A2314" i="1"/>
  <c r="A2313" i="1"/>
  <c r="A2312" i="1"/>
  <c r="A2311" i="1"/>
  <c r="A2310" i="1"/>
  <c r="A2309" i="1"/>
  <c r="A2308" i="1"/>
  <c r="A2307" i="1"/>
  <c r="A2306" i="1"/>
  <c r="A2305" i="1"/>
  <c r="A2304" i="1"/>
  <c r="A2303" i="1"/>
  <c r="A2302" i="1"/>
  <c r="A2301" i="1"/>
  <c r="A2300" i="1"/>
  <c r="A2299" i="1"/>
  <c r="A2298" i="1"/>
  <c r="A2297" i="1"/>
  <c r="A2296" i="1"/>
  <c r="A2295" i="1"/>
  <c r="A2294" i="1"/>
  <c r="A2293" i="1"/>
  <c r="A2292" i="1"/>
  <c r="A2291" i="1"/>
  <c r="A2290" i="1"/>
  <c r="A2289" i="1"/>
  <c r="A2288" i="1"/>
  <c r="A2287" i="1"/>
  <c r="A2286" i="1"/>
  <c r="A2285" i="1"/>
  <c r="A2284" i="1"/>
  <c r="A2283" i="1"/>
  <c r="A2282" i="1"/>
  <c r="A2281" i="1"/>
  <c r="A2280" i="1"/>
  <c r="A2279" i="1"/>
  <c r="A2278" i="1"/>
  <c r="A2277" i="1"/>
  <c r="A2276" i="1"/>
  <c r="A2275" i="1"/>
  <c r="A2274" i="1"/>
  <c r="A2273" i="1"/>
  <c r="A2272" i="1"/>
  <c r="A2271" i="1"/>
  <c r="A2270" i="1"/>
  <c r="A2269" i="1"/>
  <c r="A2268" i="1"/>
  <c r="A2267" i="1"/>
  <c r="A2266" i="1"/>
  <c r="A2265" i="1"/>
  <c r="A2264" i="1"/>
  <c r="A2263" i="1"/>
  <c r="A2262" i="1"/>
  <c r="A2261" i="1"/>
  <c r="A2260" i="1"/>
  <c r="A2259" i="1"/>
  <c r="A2258" i="1"/>
  <c r="A2257" i="1"/>
  <c r="A2256" i="1"/>
  <c r="A2255" i="1"/>
  <c r="A2254" i="1"/>
  <c r="A2253" i="1"/>
  <c r="A2252" i="1"/>
  <c r="A2251" i="1"/>
  <c r="A2250" i="1"/>
  <c r="A2249" i="1"/>
  <c r="A2248" i="1"/>
  <c r="A2247" i="1"/>
  <c r="A2246" i="1"/>
  <c r="A2245" i="1"/>
  <c r="A2244" i="1"/>
  <c r="A2243" i="1"/>
  <c r="A2242" i="1"/>
  <c r="A2241" i="1"/>
  <c r="A2240" i="1"/>
  <c r="A2239" i="1"/>
  <c r="A2238" i="1"/>
  <c r="A2237" i="1"/>
  <c r="A2236" i="1"/>
  <c r="A2235" i="1"/>
  <c r="A2234" i="1"/>
  <c r="A2233" i="1"/>
  <c r="A2232" i="1"/>
  <c r="A2231" i="1"/>
  <c r="A2230" i="1"/>
  <c r="A2229" i="1"/>
  <c r="A2228" i="1"/>
  <c r="A2227" i="1"/>
  <c r="A2226" i="1"/>
  <c r="A2225" i="1"/>
  <c r="A2224" i="1"/>
  <c r="A2223" i="1"/>
  <c r="A2222" i="1"/>
  <c r="A2221" i="1"/>
  <c r="A2220" i="1"/>
  <c r="A2219" i="1"/>
  <c r="A2218" i="1"/>
  <c r="A2217" i="1"/>
  <c r="A2216" i="1"/>
  <c r="A2215" i="1"/>
  <c r="A2214" i="1"/>
  <c r="A2213" i="1"/>
  <c r="A2212" i="1"/>
  <c r="A2211" i="1"/>
  <c r="A2210" i="1"/>
  <c r="A2209" i="1"/>
  <c r="A2208" i="1"/>
  <c r="A2207" i="1"/>
  <c r="A2206" i="1"/>
  <c r="A2205" i="1"/>
  <c r="A2204" i="1"/>
  <c r="A2203" i="1"/>
  <c r="A2202" i="1"/>
  <c r="A2201" i="1"/>
  <c r="A2200" i="1"/>
  <c r="A2199" i="1"/>
  <c r="A2198" i="1"/>
  <c r="A2197" i="1"/>
  <c r="A2196" i="1"/>
  <c r="A2195" i="1"/>
  <c r="A2194" i="1"/>
  <c r="A2193" i="1"/>
  <c r="A2192" i="1"/>
  <c r="A2191" i="1"/>
  <c r="A2190" i="1"/>
  <c r="A2189" i="1"/>
  <c r="A2188" i="1"/>
  <c r="A2187" i="1"/>
  <c r="A2186" i="1"/>
  <c r="A2185" i="1"/>
  <c r="A2184" i="1"/>
  <c r="A2183" i="1"/>
  <c r="A2182" i="1"/>
  <c r="A2181" i="1"/>
  <c r="A2180" i="1"/>
  <c r="A2179" i="1"/>
  <c r="A2178" i="1"/>
  <c r="A2177" i="1"/>
  <c r="A2176" i="1"/>
  <c r="A2175" i="1"/>
  <c r="A2174" i="1"/>
  <c r="A2173" i="1"/>
  <c r="A2172" i="1"/>
  <c r="A2171" i="1"/>
  <c r="A2170" i="1"/>
  <c r="A2169" i="1"/>
  <c r="A2168" i="1"/>
  <c r="A2167" i="1"/>
  <c r="A2166" i="1"/>
  <c r="A2165" i="1"/>
  <c r="A2164" i="1"/>
  <c r="A2163" i="1"/>
  <c r="A2162" i="1"/>
  <c r="A2161" i="1"/>
  <c r="A2160" i="1"/>
  <c r="A2159" i="1"/>
  <c r="A2158" i="1"/>
  <c r="A2157" i="1"/>
  <c r="A2156" i="1"/>
  <c r="A2155" i="1"/>
  <c r="A2154" i="1"/>
  <c r="A2153" i="1"/>
  <c r="A2152" i="1"/>
  <c r="A2151" i="1"/>
  <c r="A2150" i="1"/>
  <c r="A2149" i="1"/>
  <c r="A2148" i="1"/>
  <c r="A2147" i="1"/>
  <c r="A2146" i="1"/>
  <c r="A2145" i="1"/>
  <c r="A2144" i="1"/>
  <c r="A2143" i="1"/>
  <c r="A2142" i="1"/>
  <c r="A2141" i="1"/>
  <c r="A2140" i="1"/>
  <c r="A2139" i="1"/>
  <c r="A2138" i="1"/>
  <c r="A2137" i="1"/>
  <c r="A2136" i="1"/>
  <c r="A2135" i="1"/>
  <c r="A2134" i="1"/>
  <c r="A2133" i="1"/>
  <c r="A2132" i="1"/>
  <c r="A2131" i="1"/>
  <c r="A2130" i="1"/>
  <c r="A2129" i="1"/>
  <c r="A2128" i="1"/>
  <c r="A2127" i="1"/>
  <c r="A2126" i="1"/>
  <c r="A2125" i="1"/>
  <c r="A2124" i="1"/>
  <c r="A2123" i="1"/>
  <c r="A2122" i="1"/>
  <c r="A2121" i="1"/>
  <c r="A2120" i="1"/>
  <c r="A2119" i="1"/>
  <c r="A2118" i="1"/>
  <c r="A2117" i="1"/>
  <c r="A2116" i="1"/>
  <c r="A2115" i="1"/>
  <c r="A2114" i="1"/>
  <c r="A2113" i="1"/>
  <c r="A2112" i="1"/>
  <c r="A2111" i="1"/>
  <c r="A2110" i="1"/>
  <c r="A2109" i="1"/>
  <c r="A2108" i="1"/>
  <c r="A2107" i="1"/>
  <c r="A2106" i="1"/>
  <c r="A2105" i="1"/>
  <c r="A2104" i="1"/>
  <c r="A2103" i="1"/>
  <c r="A2102" i="1"/>
  <c r="A2101" i="1"/>
  <c r="A2100" i="1"/>
  <c r="A2099" i="1"/>
  <c r="A2098" i="1"/>
  <c r="A2097" i="1"/>
  <c r="A2096" i="1"/>
  <c r="A2095" i="1"/>
  <c r="A2094" i="1"/>
  <c r="A2093" i="1"/>
  <c r="A2092" i="1"/>
  <c r="A2091" i="1"/>
  <c r="A2090" i="1"/>
  <c r="A2089" i="1"/>
  <c r="A2088" i="1"/>
  <c r="A2087" i="1"/>
  <c r="A2086" i="1"/>
  <c r="A2085" i="1"/>
  <c r="A2084" i="1"/>
  <c r="A2083" i="1"/>
  <c r="A2082" i="1"/>
  <c r="A2081" i="1"/>
  <c r="A2080" i="1"/>
  <c r="A2079" i="1"/>
  <c r="A2078" i="1"/>
  <c r="A2077" i="1"/>
  <c r="A2076" i="1"/>
  <c r="A2075" i="1"/>
  <c r="A2074" i="1"/>
  <c r="A2073" i="1"/>
  <c r="A2072" i="1"/>
  <c r="A2071" i="1"/>
  <c r="A2070" i="1"/>
  <c r="A2069" i="1"/>
  <c r="A2068" i="1"/>
  <c r="A2067" i="1"/>
  <c r="A2066" i="1"/>
  <c r="A2065" i="1"/>
  <c r="A2064" i="1"/>
  <c r="A2063" i="1"/>
  <c r="A2062" i="1"/>
  <c r="A2061" i="1"/>
  <c r="A2060" i="1"/>
  <c r="A2059" i="1"/>
  <c r="A2058" i="1"/>
  <c r="A2057" i="1"/>
  <c r="A2056" i="1"/>
  <c r="A2055" i="1"/>
  <c r="A2054" i="1"/>
  <c r="A2053" i="1"/>
  <c r="A2052" i="1"/>
  <c r="A2051" i="1"/>
  <c r="A2050" i="1"/>
  <c r="A2049" i="1"/>
  <c r="A2048" i="1"/>
  <c r="A2047" i="1"/>
  <c r="A2046" i="1"/>
  <c r="A2045" i="1"/>
  <c r="A2044" i="1"/>
  <c r="A2043" i="1"/>
  <c r="A2042" i="1"/>
  <c r="A2041" i="1"/>
  <c r="A2040" i="1"/>
  <c r="A2039" i="1"/>
  <c r="A2038" i="1"/>
  <c r="A2037" i="1"/>
  <c r="A2036" i="1"/>
  <c r="A2035" i="1"/>
  <c r="A2034" i="1"/>
  <c r="A2033" i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</calcChain>
</file>

<file path=xl/sharedStrings.xml><?xml version="1.0" encoding="utf-8"?>
<sst xmlns="http://schemas.openxmlformats.org/spreadsheetml/2006/main" count="13975" uniqueCount="13963">
  <si>
    <t>TAG Abutilon Bella Mix 100/100 Pixie Tag</t>
  </si>
  <si>
    <t>TAG Abutilon Bella Select Mix 100/100 Pixie Tag</t>
  </si>
  <si>
    <t>TAG Abutilon Flowering Maple GENERIC 100/100 Pixie Tag</t>
  </si>
  <si>
    <t>TAG Abutilon Variegated Salmon 100/100 Pixie Tag</t>
  </si>
  <si>
    <t>TAG Acalypha Bronze Pink Coperleaf Plant 50/50 Petite Portrait DO FUL</t>
  </si>
  <si>
    <t>TAG Acalypha Cat Tails 25/25 Portrait Tag</t>
  </si>
  <si>
    <t>TAG Acalypha Firetail 50/50 Petite Portrait DO FUL</t>
  </si>
  <si>
    <t>TAG Acalypha Chenille Plant GENERIC 100/100 Hang Tag</t>
  </si>
  <si>
    <t>TAG Acalypha Chenille Plant GENERIC 100/100 Pixie Tag</t>
  </si>
  <si>
    <t>TAG Acalypha Copper Plant GENERIC 100/100 Pixie Tag</t>
  </si>
  <si>
    <t>TAG Acanthus Mollis 25/25 Portrait Tag</t>
  </si>
  <si>
    <t>TAG Achillea Appleblossom 25/25 Portrait Tag</t>
  </si>
  <si>
    <t>TAG Achillea Cerise Queen 100/100 Pixie Tag</t>
  </si>
  <si>
    <t>TAG Achillea Coronation Gold 25/25 Portrait Tag</t>
  </si>
  <si>
    <t>TAG Achillea Desert Eve Deep Rose 25/25 Portrait Tag</t>
  </si>
  <si>
    <t>TAG Achillea Desert Eve Deep Rose 50/50 Petite Portrait SF FUL</t>
  </si>
  <si>
    <t>TAG Achillea Desert Eve Red 25/25 Portrait Tag</t>
  </si>
  <si>
    <t>TAG Achillea Desert Eve Red 50/50 Petite Portrait SF FUL</t>
  </si>
  <si>
    <t>TAG Achillea Desert Eve Terracotta 25/25 Portrait Tag</t>
  </si>
  <si>
    <t>TAG Achillea Desert Eve Terracotta 50/50 Petite Portrait SF FUL</t>
  </si>
  <si>
    <t>TAG Achillea Desert Eve Yellow 25/25 Portrait Tag</t>
  </si>
  <si>
    <t>TAG Achillea Desert Eve Yellow 50/50 Petite Portrait SF FUL</t>
  </si>
  <si>
    <t>TAG Achillea Goldie 25/25 Portrait Tag</t>
  </si>
  <si>
    <t>TAG Achillea King Edward 50/50 Petite Portrait DO FUL</t>
  </si>
  <si>
    <t>TAG Achillea Little Moonshine 25/25 Portrait Tag</t>
  </si>
  <si>
    <t>TAG Achillea Marshmallow 25/25 Portrait Tag</t>
  </si>
  <si>
    <t>TAG Achillea Milly Rock Red 25/25 Portrait Tag</t>
  </si>
  <si>
    <t>TAG Achillea Milly Rock Rose 25/25 Portrait Tag</t>
  </si>
  <si>
    <t>TAG Achillea Milly Rock Yellow 25/25 Portrait Tag</t>
  </si>
  <si>
    <t>TAG Achillea Milly Rock Yellow Terrace 25/25 Portrait Tag</t>
  </si>
  <si>
    <t>TAG Achillea Moon Dust 25/25 Portrait Tag</t>
  </si>
  <si>
    <t>TAG Achillea Moonshine 25/25 Portrait Tag</t>
  </si>
  <si>
    <t>TAG Achillea Moonshine 50/50 Petite Portrait DO FUL</t>
  </si>
  <si>
    <t>TAG Achillea New Vintage Red 25/25 Portrait Tag</t>
  </si>
  <si>
    <t>TAG Achillea New Vintage Red 50/50 Petite Portrait DO FUL</t>
  </si>
  <si>
    <t>TAG Achillea New Vintage Rose 25/25 Portrait Tag</t>
  </si>
  <si>
    <t>TAG Achillea New Vintage Terracotta 25/25 Portrait Tag</t>
  </si>
  <si>
    <t>TAG Achillea New Vintage Violet 25/25 Portrait Tag</t>
  </si>
  <si>
    <t>TAG Achillea New Vintage Violet 50/50 Petite Portrait DO FUL</t>
  </si>
  <si>
    <t>TAG Achillea New Vintage White 25/25 Portrait Tag</t>
  </si>
  <si>
    <t>TAG Achillea Paprika 25/25 Portrait Tag</t>
  </si>
  <si>
    <t>TAG Achillea Paprika 50/50 Petite Portrait DO FUL</t>
  </si>
  <si>
    <t>TAG Achillea Saucy Seduction 25/25 Portrait Tag</t>
  </si>
  <si>
    <t>TAG Achillea Seduction Strawberry 25/25 Portrait Tag</t>
  </si>
  <si>
    <t>TAG Achillea Seduction Sunny 25/25 Portrait Tag</t>
  </si>
  <si>
    <t>TAG Achillea Skysail Bright Pink 100/100 Pixie Tag DO FUL</t>
  </si>
  <si>
    <t>TAG Achillea Skysail Fire 100/100 Pixie Tag DO FUL</t>
  </si>
  <si>
    <t>TAG Achillea Skysail Yellow 100/100 Pixie Tag DO FUL</t>
  </si>
  <si>
    <t>TAG Achillea Summer Berries 25/25 Portrait Tag</t>
  </si>
  <si>
    <t>TAG Achillea Summer Drift 25/25 Portrait Tag</t>
  </si>
  <si>
    <t>TAG Achillea Summer Pastels 100/100 Pixie Tag</t>
  </si>
  <si>
    <t>TAG Achillea Summer Pastels 25/25 Portrait Tag</t>
  </si>
  <si>
    <t>TAG Achillea Sun N Fun Gold 25/25 Portrait Tag</t>
  </si>
  <si>
    <t>TAG Achillea Sun N Fun Red 25/25 Portrait Tag</t>
  </si>
  <si>
    <t>TAG Achillea Terracotta 100/100 Pixie Tag DO FUL</t>
  </si>
  <si>
    <t>TAG Achillea Terracotta 25/25 Portrait Tag</t>
  </si>
  <si>
    <t>TAG Achillea Terracotta 50/50 Petite Portrait DO FUL</t>
  </si>
  <si>
    <t>TAG Achillea Tutti Frutti Apricot Dlight 25/25 Portrait Tag</t>
  </si>
  <si>
    <t>TAG Achillea Tutti Frutti Pink Grapefruit 25/25 Portrait Tag</t>
  </si>
  <si>
    <t>TAG Achillea Tutti Frutti Pomegranate 25/25 Portrait Tag</t>
  </si>
  <si>
    <t>TAG Achillea Yarrow 25/25 Portrait Tag</t>
  </si>
  <si>
    <t>TAG Aconitum Arendsii 25/25 Portrait Tag</t>
  </si>
  <si>
    <t>TAG Acorus Ogon 25/25 Portrait Tag</t>
  </si>
  <si>
    <t>TAG Acorus Variegatus 25/25 Portrait Tag</t>
  </si>
  <si>
    <t>TAG Adromi Cooperi 100/100 Pixie Tag DO FUL</t>
  </si>
  <si>
    <t>TAG Adromi Cristatus 100/100 Pixie Tag DO FUL</t>
  </si>
  <si>
    <t>TAG Adromi Maculatus 100/100 Pixie Tag DO FUL</t>
  </si>
  <si>
    <t>TAG Aegopodium Variegatum 100/100 Pixie Tag</t>
  </si>
  <si>
    <t>TAG Aegopodium Variegatum 25/25 Portrait Tag</t>
  </si>
  <si>
    <t>TAG Aeonium Atropurpureum 100/100 Pixie Tag DO FUL</t>
  </si>
  <si>
    <t>TAG Aeonium GENERIC 100/100 Pixie Tag</t>
  </si>
  <si>
    <t>TAG Aeonium Kiwi 100/100 Pixie Tag</t>
  </si>
  <si>
    <t>TAG Aeonium Kiwi CN2004 100/100 Pixie Tag DO FUL</t>
  </si>
  <si>
    <t>TAG Aeonium Nigrum 100/100 Pixie Tag DO FUL</t>
  </si>
  <si>
    <t>TAG Aeonium Stripe 100/100 Pixie Tag DO FUL</t>
  </si>
  <si>
    <t>TAG Aeonium Zwarktop 100/100 Pixie Tag</t>
  </si>
  <si>
    <t>TAG Agapanthus Lily Of The Nile GENERIC 25/25 Portrait Tag</t>
  </si>
  <si>
    <t>TAG Agastache Anise Hyssop 100/100 Pixie Tag</t>
  </si>
  <si>
    <t>TAG Agastache Anise Hyssop GENERIC 25/25 Portrait Tag</t>
  </si>
  <si>
    <t>TAG Agastache Arizona Sandstone 25/25 Portrait Tag</t>
  </si>
  <si>
    <t>TAG Agastache Arizona Series 100/100 Pixie Tag</t>
  </si>
  <si>
    <t>TAG Agastache Arizona Sun 25/25 Portrait Tag</t>
  </si>
  <si>
    <t>TAG Agastache Arizona Sunset 25/25 Portrait Tag</t>
  </si>
  <si>
    <t>TAG Agastache Beelicious Purple 100/100 Pixie Tag DO FUL</t>
  </si>
  <si>
    <t>TAG Agastache Betterbuzz Amarillo 100/100 Pixie Tag DO FUL</t>
  </si>
  <si>
    <t>TAG Agastache Betterbuzz Amber 100/100 Pixie Tag DO FUL</t>
  </si>
  <si>
    <t>TAG Agastache Betterbuzz Pink 100/100 Pixie Tag DO FUL</t>
  </si>
  <si>
    <t>TAG Agastache Betterbuzz Red 100/100 Pixie Tag DO FUL</t>
  </si>
  <si>
    <t>TAG Agastache Betterbuzz Violeta 100/100 Pixie Tag DO FUL</t>
  </si>
  <si>
    <t>TAG Agastache Black Adder 100/100 Pixie Tag DO FUL</t>
  </si>
  <si>
    <t>TAG Agastache Black Adder 25/25 Portrait Tag</t>
  </si>
  <si>
    <t>TAG Agastache Black Adder 50/50 Petite Portrait DO FUL</t>
  </si>
  <si>
    <t>TAG Agastache Blue Bayou 25/25 Portrait Tag</t>
  </si>
  <si>
    <t>TAG Agastache Blue Boa 25/25 Portrait Tag</t>
  </si>
  <si>
    <t>TAG Agastache Blue Fortune 100/100 Pixie Tag DO FUL</t>
  </si>
  <si>
    <t>TAG Agastache Blue Fortune 25/25 Portrait Tag</t>
  </si>
  <si>
    <t>TAG Agastache Blue Fortune 50/50 Petite Portrait DO FUL</t>
  </si>
  <si>
    <t>TAG Agastache Celestia 25/25 Portrait Tag</t>
  </si>
  <si>
    <t>TAG Agastache Golden Jubilee 100/100 Pixie Tag</t>
  </si>
  <si>
    <t>TAG Agastache Guava Lava 25/25 Portrait Tag</t>
  </si>
  <si>
    <t>TAG Agastache Honeysticks Ember 100/100 Pixie Tag DO FUL</t>
  </si>
  <si>
    <t>TAG Agastache Honeysticks Purple 100/100 Pixie Tag DO FUL</t>
  </si>
  <si>
    <t>TAG Agastache Honeysticks Sandstone 100/100 Pixie Tag DO FUL</t>
  </si>
  <si>
    <t>TAG Agastache Hummingbird Mint GENERIC 25/25 Portrait Tag</t>
  </si>
  <si>
    <t>TAG Agastache Kudos Ambrosia 25/25 Portrait Tag</t>
  </si>
  <si>
    <t>TAG Agastache Kudos Coral 25/25 Portrait Tag</t>
  </si>
  <si>
    <t>TAG Agastache Kudos Gold 25/25 Portrait Tag</t>
  </si>
  <si>
    <t>TAG Agastache Kudos Mandarin 25/25 Portrait Tag</t>
  </si>
  <si>
    <t>TAG Agastache Kudos Red 25/25 Portrait Tag</t>
  </si>
  <si>
    <t>TAG Agastache Kudos Red Dwarf 50/50 Petite Portrait DO FUL</t>
  </si>
  <si>
    <t>TAG Agastache Kudos Silver Blue 25/25 Portrait Tag</t>
  </si>
  <si>
    <t>TAG Agastache Kudos Yellow 25/25 Portrait Tag</t>
  </si>
  <si>
    <t>TAG Agastache Little Adder 25/25 Portrait Tag</t>
  </si>
  <si>
    <t>TAG Agastache Morello 25/25 Portrait Tag</t>
  </si>
  <si>
    <t>TAG Agastache Morello Hummingbird Mint 50/50 Petite Portrait DO FUL</t>
  </si>
  <si>
    <t>TAG Agastache Pink Pearl 25/25 Portrait Tag</t>
  </si>
  <si>
    <t>TAG Agastache Pinky Pie 25/25 Portrait Tag</t>
  </si>
  <si>
    <t>TAG Agastache Poquito Butter Yellow 25/25 Portrait Tag</t>
  </si>
  <si>
    <t>TAG Agastache Poquito Butter Yellow 50/50 Petite Portrait DO FUL</t>
  </si>
  <si>
    <t>TAG Agastache Poquito Dark Blue 50/50 Petite Portrait DO FUL</t>
  </si>
  <si>
    <t>TAG Agastache Poquito Dark Blue 25/25 Portrait Tag</t>
  </si>
  <si>
    <t>TAG Agastache Poquito Lavender 25/25 Portrait Tag</t>
  </si>
  <si>
    <t>TAG Agastache Poquito Lavender 50/50 Petite Portrait DO FUL</t>
  </si>
  <si>
    <t>TAG Agastache Poquito Orange 50/50 Petite Portrait DO FUL</t>
  </si>
  <si>
    <t>TAG Agastache Poquito Orange 25/25 Portrait Tag</t>
  </si>
  <si>
    <t>TAG Agastache Purple Haze 25/25 Portrait Tag</t>
  </si>
  <si>
    <t>TAG Agastache Summerlong Coral 25/25 Portrait Tag</t>
  </si>
  <si>
    <t>TAG Agastache Summerlong Lilac 25/25 Portrait Tag</t>
  </si>
  <si>
    <t>TAG Agastache Summerlong Lemon 25/25 Portrait Tag</t>
  </si>
  <si>
    <t>TAG Agastache Summerlong Magenta 25/25 Portrait Tag</t>
  </si>
  <si>
    <t>TAG Agastache Summerlong Peach 25/25 Portrait Tag</t>
  </si>
  <si>
    <t>TAG Agastache Sunny Sparks Orange Glow 25/25 Portrait Tag</t>
  </si>
  <si>
    <t>TAG Agastache Sunny Sparks Pink 25/25 Portrait Tag</t>
  </si>
  <si>
    <t>TAG Agastache Sunny Sparks Pink Glow 25/25 Portrait Tag</t>
  </si>
  <si>
    <t>TAG Agastache Sunny Sparks Tangerine 25/25 Portrait Tag</t>
  </si>
  <si>
    <t>TAG Agastache Sunny Sparks Yellow 25/25 Portrait Tag</t>
  </si>
  <si>
    <t>TAG Agastache Sunrise Blue 25/25 Portrait Tag</t>
  </si>
  <si>
    <t>TAG Agastache Sunrise Orange 25/25 Portrait Tag</t>
  </si>
  <si>
    <t>TAG Agastache Sunrise Red 25/25 Portrait Tag</t>
  </si>
  <si>
    <t>TAG Agastache Sunrise Rose 25/25 Portrait Tag</t>
  </si>
  <si>
    <t>TAG Agastache Sunrise Salmon Pink 25/25 Portrait Tag</t>
  </si>
  <si>
    <t>TAG Agastache Sunrise Violet 25/25 Portrait Tag</t>
  </si>
  <si>
    <t>TAG Agastache Sunrise White 25/25 Portrait Tag</t>
  </si>
  <si>
    <t>TAG Agastache Sunrise Yellow 25/25 Portrait Tag</t>
  </si>
  <si>
    <t>TAG Agastache Sunset Hyssop 25/25 Portrait Tag</t>
  </si>
  <si>
    <t>TAG Agastache Tango 25/25 Portrait Tag</t>
  </si>
  <si>
    <t>TAG Agastache Zuni 25/25 Portrait Tag</t>
  </si>
  <si>
    <t>TAG Agave GENERIC 100/100 Pixie Tag</t>
  </si>
  <si>
    <t>TAG Ageratum Aguilera Dark Pink 100/100 Pixie Tag</t>
  </si>
  <si>
    <t>TAG Ageratum Aguilera Sky Blue 100/100 Pixie Tag</t>
  </si>
  <si>
    <t>TAG Ageratum Aguilera Violet 100/100 Pixie Tag</t>
  </si>
  <si>
    <t>TAG Ageratum Aloha Dwarf Blue 100/100 Pixie Tag</t>
  </si>
  <si>
    <t>TAG Ageratum Ariella Series 100/100 Pixie Tag</t>
  </si>
  <si>
    <t>TAG Ageratum Blue Danube 100/100 Pixie Tag</t>
  </si>
  <si>
    <t>TAG Ageratum Blue Horizon 100/100 Pixie Tag</t>
  </si>
  <si>
    <t>TAG Ageratum Bumble Blue 100/100 Pixie Tag</t>
  </si>
  <si>
    <t>TAG Ageratum Bumble Rose 100/100 Pixie Tag</t>
  </si>
  <si>
    <t>TAG Ageratum Bumble Silver 100/100 Pixie Tag</t>
  </si>
  <si>
    <t>TAG Ageratum Bumble White 100/100 Pixie Tag</t>
  </si>
  <si>
    <t>TAG Ageratum Bilingual GENERIC 100/100 Pixie Tag</t>
  </si>
  <si>
    <t>TAG Ageratum Hawaii 5 Blue 100/100 Pixie Tag</t>
  </si>
  <si>
    <t>TAG Ageratum Hawaii Blue 100/100 Pixie Tag</t>
  </si>
  <si>
    <t>TAG Ageratum High Tide Blue 100/100 Pixie Tag</t>
  </si>
  <si>
    <t>TAG Ageratum High Tide White 100/100 Pixie Tag</t>
  </si>
  <si>
    <t>TAG Ageratum Short Blue GENERIC 100/100 Pixie Tag</t>
  </si>
  <si>
    <t>TAG Ageratum Short White GENERIC 100/100 Pixie Tag</t>
  </si>
  <si>
    <t>TAG Ageratum Tall Blue GENERIC 100/100 Pixie Tag</t>
  </si>
  <si>
    <t>TAG Aglaonema Chinese Evergreen GENERIC 100/100 Pixie Tag</t>
  </si>
  <si>
    <t>TAG Aglaonema Red GENERIC 100/100 Pixie Tag</t>
  </si>
  <si>
    <t>TAG Agrostis Green Twist 100/100 Pixie Tag</t>
  </si>
  <si>
    <t>TAG Ajuga Black Scallop 100/100 Pixie Tag DO FUL</t>
  </si>
  <si>
    <t>TAG Ajuga Black Scallop CR4157 50/50 Petite Portrait DO FUL</t>
  </si>
  <si>
    <t>TAG Ajuga Black Scallop 100/100 Pixie TAG DO</t>
  </si>
  <si>
    <t>TAG Ajuga Black Scallop 25/25 Portrait Tag</t>
  </si>
  <si>
    <t>TAG Ajuga Blueberry Muffin 25/25 Portrait Tag</t>
  </si>
  <si>
    <t>TAG Ajuga Bronze Beauty CN5006 100/100 Pixie Tag DO FUL</t>
  </si>
  <si>
    <t>TAG Ajuga Bronze Beauty 100/100 Pixie TAG DO</t>
  </si>
  <si>
    <t>TAG Ajuga Bronze Beauty 25/25 Portrait Tag</t>
  </si>
  <si>
    <t>TAG Ajuga Burgundy Glow 100/100 Pixie TAG DO</t>
  </si>
  <si>
    <t>TAG Ajuga Burgundy Glow 25/25 Portrait Tag</t>
  </si>
  <si>
    <t>TAG Ajuga Burgundy Glow CN5007 100/100 Pixie Tag DO FUL</t>
  </si>
  <si>
    <t>TAG Ajuga Burgundy Glow 50/50 Petite Portrait SF FUL</t>
  </si>
  <si>
    <t>TAG Ajuga Catlin's Giant 100/100 Pixie Tag DO FUL</t>
  </si>
  <si>
    <t>TAG Ajuga Catlin's Giant 25/25 Portrait Tag</t>
  </si>
  <si>
    <t>TAG Ajuga Chocolate Chip 100/100 Pixie Tag DO FUL</t>
  </si>
  <si>
    <t>TAG Ajuga Chocolate Chip 25/25 Portrait Tag</t>
  </si>
  <si>
    <t>TAG Ajuga Chocolate Chip 50/50 Petite Portrait DO FUL</t>
  </si>
  <si>
    <t>TAG Ajuga Feathered Friends Cordial Canary 25/25 Portrait Tag</t>
  </si>
  <si>
    <t>TAG Ajuga Feathered Friends Fancy Finch 25/25 Portrait Tag</t>
  </si>
  <si>
    <t>TAG Ajuga Feathered Friends Fierce Falcon 25/25 Portrait Tag</t>
  </si>
  <si>
    <t>TAG Ajuga Feathered Friends Nobl Ntngl 25/25 Portrait Tag</t>
  </si>
  <si>
    <t>TAG Ajuga Feathered Friends Parrot Paradise 25/25 Portrait Tag</t>
  </si>
  <si>
    <t>TAG Ajuga Feathered Friends Petite Parakeet 25/25 Portrait Tag</t>
  </si>
  <si>
    <t>TAG Ajuga Feathered Friends Tropical Toucan 25/25 Portrait Tag</t>
  </si>
  <si>
    <t>TAG Ajuga Golden Glow 100/100 Pixie Tag DO FUL</t>
  </si>
  <si>
    <t>TAG Ajuga Green Reptans 25/25 Portrait Tag</t>
  </si>
  <si>
    <t>TAG Ajuga Mahogany 100/100 Pixie Tag DO FUL</t>
  </si>
  <si>
    <t>TAG Ajuga Mahogany 25/25 Portrait Tag</t>
  </si>
  <si>
    <t>TAG Ajuga Mahogany 50/50 Petite Portrait DO FUL</t>
  </si>
  <si>
    <t>TAG Ajuga Princess Elsa 100/100 Pixie Tag DO FUL</t>
  </si>
  <si>
    <t>TAG Ajuga Princess Leia 100/100 Pixie Tag DO FUL</t>
  </si>
  <si>
    <t>TAG Ajuga Princess Nadia 100/100 Pixie Tag DO FUL</t>
  </si>
  <si>
    <t>TAG Ajuga Rosea 100/100 Pixie Tag DO FUL</t>
  </si>
  <si>
    <t>TAG Alcea Chater's Double Maroon 25/25 Portrait Tag</t>
  </si>
  <si>
    <t>TAG Alcea Chater's Double Mix 100/100 Pixie Tag</t>
  </si>
  <si>
    <t>TAG Alcea Chater's Double Mix 25/25 Portrait Tag</t>
  </si>
  <si>
    <t>TAG Alcea Chater's Double Pink 25/25 Portrait Tag</t>
  </si>
  <si>
    <t>TAG Alcea Chater's Double Scarlet 25/25 Portrait Tag</t>
  </si>
  <si>
    <t>TAG Alcea Chater's Double Salmon Pink 25/25 Portrait Tag</t>
  </si>
  <si>
    <t>TAG Alcea Chater's Double White 25/25 Portrait Tag</t>
  </si>
  <si>
    <t>TAG Alcea Chater's Double Yellow 25/25 Portrait Tag</t>
  </si>
  <si>
    <t>TAG Alcea Creme De Cassis 25/25 Portrait Tag</t>
  </si>
  <si>
    <t>TAG Alcea Hollyhock GENERIC 25/25 Portrait Tag</t>
  </si>
  <si>
    <t>TAG Alcea Indian Spring 25/25 Portrait Tag</t>
  </si>
  <si>
    <t>TAG Alcea Las Vegas 25/25 Portrait Tag</t>
  </si>
  <si>
    <t>TAG Alcea Nigra 25/25 Portrait Tag</t>
  </si>
  <si>
    <t>TAG Alcea Peaches N Dreams 25/25 Portrait Tag</t>
  </si>
  <si>
    <t>TAG Alcea Queeny Purple 100/100 Pixie Tag</t>
  </si>
  <si>
    <t>TAG Alcea Single 25/25 Portrait Tag</t>
  </si>
  <si>
    <t>TAG Alcea Spotlight Blacknight 25/25 Portrait Tag</t>
  </si>
  <si>
    <t>TAG Alcea Spotlight Mars Magic 25/25 Portrait Tag</t>
  </si>
  <si>
    <t>TAG Alcea Spotlight Sunshine 25/25 Portrait Tag</t>
  </si>
  <si>
    <t>TAG Alcea Spring Celebrities Carmine Rose 25/25 Portrait Tag</t>
  </si>
  <si>
    <t>TAG Alcea Spring Celebrities Crimson 25/25 Portrait Tag</t>
  </si>
  <si>
    <t>TAG Alcea Spring Celebrities Lemon 25/25 Portrait Tag</t>
  </si>
  <si>
    <t>TAG Alcea Spring Celebrities Mix 25/25 Portrait Tag</t>
  </si>
  <si>
    <t>TAG Alcea Spring Celebrities Pink 25/25 Portrait Tag</t>
  </si>
  <si>
    <t>TAG Alcea Spring Celebrities Purple 25/25 Portrait Tag</t>
  </si>
  <si>
    <t>TAG Alcea Summer Carnival Mix 100/100 Pixie Tag</t>
  </si>
  <si>
    <t>TAG Alchemilla Auslese 25/25 Portrait Tag</t>
  </si>
  <si>
    <t>TAG Alchemilla Erythropoda 25/25 Portrait Tag</t>
  </si>
  <si>
    <t>TAG Alchemilla Gold Strike 25/25 Portrait Tag</t>
  </si>
  <si>
    <t>TAG Alchemilla Mollis 25/25 Portrait Tag</t>
  </si>
  <si>
    <t>TAG Alchemilla Thriller 100/100 Pixie Tag</t>
  </si>
  <si>
    <t>TAG Alchemilla Thriller 25/25 Portrait Tag</t>
  </si>
  <si>
    <t>TAG Allium Benny's Red 100/100 Pixie Tag</t>
  </si>
  <si>
    <t>TAG Allium Bunching 100/100 Pixie Tag</t>
  </si>
  <si>
    <t>TAG Allium Burgundy 100/100 Pixie Tag</t>
  </si>
  <si>
    <t>TAG Allium Candy 100/100 Pixie Tag</t>
  </si>
  <si>
    <t>TAG Allium Chives 100/100 Pixie Tag</t>
  </si>
  <si>
    <t>TAG Allium Chives 200/200 Thriftee Tag</t>
  </si>
  <si>
    <t>TAG Allium Chives 25/25 Portrait Tag</t>
  </si>
  <si>
    <t>TAG Allium Garlic Chives 100/100 Pixie Tag</t>
  </si>
  <si>
    <t>TAG Allium Garlic Chives 25/25 Portrait Tag</t>
  </si>
  <si>
    <t>TAG Allium Garlic GENERIC 100/100 Pixie Tag</t>
  </si>
  <si>
    <t>TAG Allium Garlic Geisha Chives 100/100 Pixie Tag</t>
  </si>
  <si>
    <t>TAG Allium Geisha Garlic Chives 25/25 Portrait Tag</t>
  </si>
  <si>
    <t>TAG Allium King Richard 25/25 Portrait Tag</t>
  </si>
  <si>
    <t>TAG Allium Millenium 25/25 Portrait Tag</t>
  </si>
  <si>
    <t>TAG Alocasia Calidora 100/100 Pixie Tag</t>
  </si>
  <si>
    <t>TAG Alocasia GENERIC 100/100 Pixie Tag</t>
  </si>
  <si>
    <t>TAG Alocasia Polly 100/100 Pixie Tag</t>
  </si>
  <si>
    <t>TAG Alocasia Taro 25/25 Portrait Tag</t>
  </si>
  <si>
    <t>TAG Alocasia Wentii 100/100 Pixie Tag</t>
  </si>
  <si>
    <t>TAG Aloe Arborescens 100/100 Pixie Tag DO FUL</t>
  </si>
  <si>
    <t>TAG Aloe Aristata 100/100 Pixie Tag DO FUL</t>
  </si>
  <si>
    <t>TAG Aloe Medicinal 100/100 Pixie Tag</t>
  </si>
  <si>
    <t>TAG Aloe Vera 100/100 Pixie Tag DO FUL</t>
  </si>
  <si>
    <t>TAG Aloysia Lemon Verbena 100/100 Pixie Tag DO FUL</t>
  </si>
  <si>
    <t>TAG Aloysia Lemon Verbena 50/50 Petite Portrait DO FUL</t>
  </si>
  <si>
    <t>TAG Alstroemeria Bryce 50/50 Petite Portrait DO FUL</t>
  </si>
  <si>
    <t>TAG Alstroemeria Dark Purple 50/50 Petite Portrait DO FUL</t>
  </si>
  <si>
    <t>TAG Alstroemeria Doba 50/50 Petite Portrait DO FUL</t>
  </si>
  <si>
    <t>TAG Alstroemeria GENERIC 100/100 Pixie Tag</t>
  </si>
  <si>
    <t>TAG Alstroemeria Hope 50/50 Petite Portrait DO FUL</t>
  </si>
  <si>
    <t>TAG Alstroemeria Indigo 50/50 Petite Portrait DO FUL</t>
  </si>
  <si>
    <t>TAG Alstroemeria Inticancha Series 100/100 Pixie Tag</t>
  </si>
  <si>
    <t>TAG Alstroemeria Kanika 50/50 Petite Portrait DO FUL</t>
  </si>
  <si>
    <t>TAG Alstroemeria Machu 50/50 Petite Portrait DO FUL</t>
  </si>
  <si>
    <t>TAG Alstroemeria Magic White 50/50 Petite Portrait DO FUL</t>
  </si>
  <si>
    <t>TAG Alstroemeria Maya 50/50 Petite Portrait DO FUL</t>
  </si>
  <si>
    <t>TAG Alstroemeria Moon 50/50 Petite Portrait DO FUL</t>
  </si>
  <si>
    <t>TAG Alstroemeria Passion 50/50 Petite Portrait DO FUL</t>
  </si>
  <si>
    <t>TAG Alstroemeria Red 50/50 Petite Portrait DO FUL</t>
  </si>
  <si>
    <t>TAG Alstroemeria Summer Paradise Bree 50/50 Petite Portrait DO FUL</t>
  </si>
  <si>
    <t>TAG Alstroemeria Summer Paradise Dancer 50/50 Petite Portrait DO FUL</t>
  </si>
  <si>
    <t>TAG Alstroemeria Summer Paradise Holiday 50/50 Petite Portrait DO FUL</t>
  </si>
  <si>
    <t>TAG Alstroemeria Summer Paradise Indian Summer 50/50 Petite Portrait DO FUL</t>
  </si>
  <si>
    <t>TAG Alstroemeria Summer Paradise Red 50/50 Petite Portrait DO FUL</t>
  </si>
  <si>
    <t>TAG Alstroemeria Summer Paradise Reli 50/50 Petite Portrait DO FUL</t>
  </si>
  <si>
    <t>TAG Alstroemeria Summer Paradise Saint 50/50 Petite Portrait DO FUL</t>
  </si>
  <si>
    <t>TAG Alstroemeria Summer Paradise Sky 50/50 Petite Portrait DO FUL</t>
  </si>
  <si>
    <t>TAG Alstroemeria Summer Paradise Snow 50/50 Petite Portrait DO FUL</t>
  </si>
  <si>
    <t>TAG Alstroemeria Summer Paradise Valley 50/50 Petite Portrait DO FUL</t>
  </si>
  <si>
    <t>TAG Alstroemeria Summer Paradise Valley Girl 50/50 Petite Portrait DO FUL</t>
  </si>
  <si>
    <t>TAG Alstroemeria Summer Paradise Series 100/100 Pixie Tag</t>
  </si>
  <si>
    <t>TAG Alstroemeria Sunset 50/50 Petite Portrait DO FUL</t>
  </si>
  <si>
    <t>TAG Alstroemeria Sunshine 50/50 Petite Portrait DO FUL</t>
  </si>
  <si>
    <t>TAG Alstroemeria Time Valley 50/50 Petite Portrait DO FUL</t>
  </si>
  <si>
    <t>TAG Alstroemeria Valentino 50/50 Petite Portrait DO FUL</t>
  </si>
  <si>
    <t>TAG Alstroemeria White Pink Blush 50/50 Petite Portrait DO FUL</t>
  </si>
  <si>
    <t>TAG Alternanthera Brazilian Red Hots 100/100 Pixie Tag</t>
  </si>
  <si>
    <t>TAG Alternanthera Brazilian Red Hots 50/50 Petite Portrait DO FUL</t>
  </si>
  <si>
    <t>TAG Alternanthera Burgundy 100/100 Pixie Tag</t>
  </si>
  <si>
    <t>TAG Alternanthera Chartreuse 100/100 Pixie Tag</t>
  </si>
  <si>
    <t>TAG Alternanthera Choco Chili 100/100 Pixie Tag</t>
  </si>
  <si>
    <t>TAG Alternanthera Bilingual GENERIC 100/100 Pixie Tag</t>
  </si>
  <si>
    <t>TAG Alternanthera Gold Threads 100/100 Pixie Tag</t>
  </si>
  <si>
    <t>TAG Alternanthera Green And Yellow 100/100 Pixie Tag</t>
  </si>
  <si>
    <t>TAG Alternanthera Little Ruby 100/100 Pixie Tag</t>
  </si>
  <si>
    <t>TAG Alternanthera Little Ruby 50/50 Petite Portrait DO FUL</t>
  </si>
  <si>
    <t>TAG Alternanthera PartyTime 50/50 Petite Portrait DO FUL</t>
  </si>
  <si>
    <t>TAG Alternanthera Purple Knight 100/100 Pixie Tag</t>
  </si>
  <si>
    <t>TAG Alternanthera Purple Prince 100/100 Pixie Tag</t>
  </si>
  <si>
    <t>TAG Alternanthera Red 100/100 Pixie Tag</t>
  </si>
  <si>
    <t>TAG Alternanthera Red Carpet 50/50 Petite Portrait DO FUL</t>
  </si>
  <si>
    <t>TAG Alternanthera Red Threads 100/100 Pixie Tag</t>
  </si>
  <si>
    <t>TAG Alternanthera True Yellow 50/50 Petite Portrait DO FUL</t>
  </si>
  <si>
    <t>TAG Althaea Zebrina 25/25 Portrait Tag</t>
  </si>
  <si>
    <t>TAG Alyssum GENERIC 25/25 Portrait Tag</t>
  </si>
  <si>
    <t>TAG Alyssum Golden Spring 25/25 Portrait Tag</t>
  </si>
  <si>
    <t>TAG Alyssum Golden Spring 50/50 Petite Portrait DO FUL</t>
  </si>
  <si>
    <t>TAG Alyssum Mountain Gold 25/25 Portrait Tag</t>
  </si>
  <si>
    <t>TAG Alyssum New Carpet Of Snow 100/100 Pixie Tag</t>
  </si>
  <si>
    <t>TAG Alyssum Stream Champagne 22 100/100 Pixie Tag</t>
  </si>
  <si>
    <t>TAG Alyssum Stream Violet 22 100/100 Pixie Tag</t>
  </si>
  <si>
    <t>TAG Amaranthus Carnival 100/100 Pixie Tag</t>
  </si>
  <si>
    <t>TAG Amaranthus Early Splendor 100/100 Pixie Tag</t>
  </si>
  <si>
    <t>TAG Amaranthus GENERIC 100/100 Pixie Tag</t>
  </si>
  <si>
    <t>TAG Amaranthus Love Lies Bleeding 100/100 Pixie Tag</t>
  </si>
  <si>
    <t>TAG Amaranthus Tricolor Splendens 100/100 Pixie Tag</t>
  </si>
  <si>
    <t>TAG Amaranthus Velvet Curtains 100/100 Pixie Tag</t>
  </si>
  <si>
    <t>TAG Amaryllis GENERIC 100/100 Pixie Tag</t>
  </si>
  <si>
    <t>TAG Amsonia Blue Ice 25/25 Portrait Tag</t>
  </si>
  <si>
    <t>TAG Amsonia Hubrichtii 25/25 Portrait Tag</t>
  </si>
  <si>
    <t>TAG Anacyclus Depressus 25/25 Portrait Tag</t>
  </si>
  <si>
    <t>TAG Anagallis Skylover 100/100 Pixie Tag</t>
  </si>
  <si>
    <t>TAG Ananas Pineapple Plant GENERIC 25/25 Portrait Tag</t>
  </si>
  <si>
    <t>TAG Anchusa Blue Angel 25/25 Portrait Tag</t>
  </si>
  <si>
    <t>TAG Andropogon Gerardii 25/25 Portrait Tag</t>
  </si>
  <si>
    <t>TAG Anemone GENERIC 100/100 Pixie Tag</t>
  </si>
  <si>
    <t>TAG Anemone Harmony Double Series 100/100 Pixie Tag</t>
  </si>
  <si>
    <t>TAG Anemone Harmony Series 100/100 Pixie Tag</t>
  </si>
  <si>
    <t>TAG Anemone Honorine Jobert 25/25 Portrait Tag</t>
  </si>
  <si>
    <t>TAG Anemone Mona Lisa 100/100 Pixie Tag</t>
  </si>
  <si>
    <t>TAG Anemone Pretty Lady Diana 25/25 Portrait Tag</t>
  </si>
  <si>
    <t>TAG Anemone Pretty Lady Emily 25/25 Portrait Tag</t>
  </si>
  <si>
    <t>TAG Anemone Pretty Lady Maria 25/25 Portrait Tag</t>
  </si>
  <si>
    <t>TAG Anemone Pretty Lady Susan 25/25 Portrait Tag</t>
  </si>
  <si>
    <t>TAG Anemone Robustissima 25/25 Portrait Tag</t>
  </si>
  <si>
    <t>TAG Anemone September Charm 25/25 Portrait Tag</t>
  </si>
  <si>
    <t>TAG Anemone Sylvestris 25/25 Portrait Tag</t>
  </si>
  <si>
    <t>TAG Anemone Whirlwind 25/25 Portrait Tag</t>
  </si>
  <si>
    <t>TAG Angelonia Alonia Big Blue 100/100 Pixie Tag</t>
  </si>
  <si>
    <t>TAG Angelonia Alonia Big Cherry 100/100 Pixie Tag</t>
  </si>
  <si>
    <t>TAG Angelonia Alonia Big Dark Pink 100/100 Pixie Tag</t>
  </si>
  <si>
    <t>TAG Angelonia Alonia Big Grape 100/100 Pixie Tag</t>
  </si>
  <si>
    <t>TAG Angelonia Alonia Big Indigo 100/100 Pixie Tag</t>
  </si>
  <si>
    <t>TAG Angelonia Alonia Big Bicolor Pink 100/100 Pixie Tag</t>
  </si>
  <si>
    <t>TAG Angelonia Alonia Big Bicolor Purple 100/100 Pixie Tag</t>
  </si>
  <si>
    <t>TAG Angelonia Alonia Big Snow 100/100 Pixie Tag</t>
  </si>
  <si>
    <t>TAG Angelonia Alonia Violet Big 100/100 Pixie Tag</t>
  </si>
  <si>
    <t>TAG Angelonia Alonia Dark Lavender 100/100 Pixie Tag</t>
  </si>
  <si>
    <t>TAG Angelonia Alonia Pink Flirt 100/100 Pixie Tag</t>
  </si>
  <si>
    <t>TAG Angelonia Alonia Purple 100/100 Pixie Tag</t>
  </si>
  <si>
    <t>TAG Angelonia Alonia Snow Ball 100/100 Pixie Tag</t>
  </si>
  <si>
    <t>TAG Angelonia Alonia Bicolor Violet 100/100 Pixie Tag</t>
  </si>
  <si>
    <t>TAG Angelonia Angelissa Purple 100/100 Pixie Tag</t>
  </si>
  <si>
    <t>TAG Angelonia Angelissa Rose 100/100 Pixie Tag</t>
  </si>
  <si>
    <t>TAG Angelonia Angelissa White 100/100 Pixie Tag</t>
  </si>
  <si>
    <t>TAG Angelonia Aria Alta Pink 50/50 Petite Portrait DO FUL</t>
  </si>
  <si>
    <t>TAG Angelonia Aria Alta Purple 50/50 Petite Portrait DO FUL</t>
  </si>
  <si>
    <t>TAG Angelonia Aria Alta Red Raspberry 50/50 Petite Portrait DO FUL</t>
  </si>
  <si>
    <t>TAG Angelonia Aria Blue 50/50 Petite Portrait DO FUL</t>
  </si>
  <si>
    <t>TAG Angelonia Aria Pink Bicolor 50/50 Petite Portrait DO FUL</t>
  </si>
  <si>
    <t>TAG Angelonia Aria Purple 50/50 Petite Portrait DO FUL</t>
  </si>
  <si>
    <t>TAG Angelonia Aria Soft Pink 50/50 Petite Portrait DO FUL</t>
  </si>
  <si>
    <t>TAG Angelonia Aria White 50/50 Petite Portrait DO FUL</t>
  </si>
  <si>
    <t>TAG Angelonia Carita Cascade Deep Purple 50/50 Petite Portrait SF FUL</t>
  </si>
  <si>
    <t>TAG Angelonia Carita Cascade Raspberry 50/50 Petite Portrait SF FUL</t>
  </si>
  <si>
    <t>TAG Angelonia Carita Cascade White 50/50 Petite Portrait SF FUL</t>
  </si>
  <si>
    <t>TAG Angelonia Carita Purple 50/50 Petite Portrait SF FUL</t>
  </si>
  <si>
    <t>TAG Angelonia Carita Raspberry 50/50 Petite Portrait SF FUL</t>
  </si>
  <si>
    <t>TAG Angelonia Carita White 50/50 Petite Portrait SF FUL</t>
  </si>
  <si>
    <t>TAG Angelonia GENERIC 100/100 Pixie Tag</t>
  </si>
  <si>
    <t>TAG Angelonia Serafina Bicolor 100/100 Pixie Tag</t>
  </si>
  <si>
    <t>TAG Angelonia Serafina Blue 100/100 Pixie Tag</t>
  </si>
  <si>
    <t>TAG Angelonia Serafina Pink 100/100 Pixie Tag</t>
  </si>
  <si>
    <t>TAG Angelonia Serafina Raspberry 100/100 Pixie Tag</t>
  </si>
  <si>
    <t>TAG Angelonia Serafina Rose 100/100 Pixie Tag</t>
  </si>
  <si>
    <t>TAG Angelonia Serafina Violet 100/100 Pixie Tag</t>
  </si>
  <si>
    <t>TAG Angelonia Serafina White 100/100 Pixie Tag</t>
  </si>
  <si>
    <t>TAG Angelonia Serena Blue 100/100 Pixie Tag</t>
  </si>
  <si>
    <t>TAG Angelonia Serena Lavender 100/100 Pixie Tag</t>
  </si>
  <si>
    <t>TAG Angelonia Serena Lavender Pink 100/100 Pixie Tag</t>
  </si>
  <si>
    <t>TAG Angelonia Serena Mix 100/100 Pixie Tag</t>
  </si>
  <si>
    <t>TAG Angelonia Serena Purple 100/100 Pixie Tag</t>
  </si>
  <si>
    <t>TAG Angelonia Serena Rose 100/100 Pixie Tag</t>
  </si>
  <si>
    <t>TAG Angelonia Serena Waterfall Mix 100/100 Pixie Tag</t>
  </si>
  <si>
    <t>TAG Angelonia Serena White 100/100 Pixie Tag</t>
  </si>
  <si>
    <t>TAG Angelonia Serenita Lavender 100/100 Pixie Tag</t>
  </si>
  <si>
    <t>TAG Angelonia Serenita Lavender Pink 100/100 Pixie Tag</t>
  </si>
  <si>
    <t>TAG Angelonia Serenita Mix 100/100 Pixie Tag</t>
  </si>
  <si>
    <t>TAG Angelonia Serenita Pink 100/100 Pixie Tag</t>
  </si>
  <si>
    <t>TAG Angelonia Serenita Purple 100/100 Pixie Tag</t>
  </si>
  <si>
    <t>TAG Angelonia Serenita Raspberry 100/100 Pixie Tag</t>
  </si>
  <si>
    <t>TAG Angelonia Serenita Rose 100/100 Pixie Tag</t>
  </si>
  <si>
    <t>TAG Angelonia Serenita Series 100/100 Pixie Tag</t>
  </si>
  <si>
    <t>TAG Angelonia Serenita Sky Blue 100/100 Pixie Tag</t>
  </si>
  <si>
    <t>TAG Angelonia Serenita White 100/100 Pixie Tag</t>
  </si>
  <si>
    <t>TAG Anise 100/100 Pixie Tag</t>
  </si>
  <si>
    <t>TAG Anisodontea Capensis 100/100 Pixie Tag</t>
  </si>
  <si>
    <t>TAG Anisodontea Elegans Princess 100/100 Pixie Tag</t>
  </si>
  <si>
    <t>TAG Annual Combination GENERIC 100/100 Hang Tag</t>
  </si>
  <si>
    <t>TAG Annual Bilingual GENERIC 100/100 Pixie Tag</t>
  </si>
  <si>
    <t>TAG Antennaria Rubra 25/25 Portrait Tag</t>
  </si>
  <si>
    <t>TAG Anthriscus Chervil 100/100 Pixie Tag</t>
  </si>
  <si>
    <t>TAG Anthriscus Chervil 25/25 Portrait Tag</t>
  </si>
  <si>
    <t>TAG Anthurium GENERIC 100/100 Pixie Tag</t>
  </si>
  <si>
    <t>TAG Apium Peppermint Stick 25/25 Portrait Tag</t>
  </si>
  <si>
    <t>TAG Aptenia GENERIC 100/100 Pixie Tag</t>
  </si>
  <si>
    <t>TAG Aptenia Red 100/100 Pixie Tag</t>
  </si>
  <si>
    <t>TAG Aptenia Variegated 100/100 Pixie Tag</t>
  </si>
  <si>
    <t>TAG Aquilegia Alpina 25/25 Portrait Tag</t>
  </si>
  <si>
    <t>TAG Aquilegia Barlow Nora 25/25 Portrait Tag</t>
  </si>
  <si>
    <t>TAG Aquilegia Biedermeier 100/100 Pixie Tag</t>
  </si>
  <si>
    <t>TAG Aquilegia Biedermeier 25/25 Portrait Tag</t>
  </si>
  <si>
    <t>TAG Aquilegia Canadensis 25/25 Portrait Tag</t>
  </si>
  <si>
    <t>TAG Aquilegia Clementine Blue 25/25 Portrait Tag</t>
  </si>
  <si>
    <t>TAG Aquilegia Clementine Dark Purple 25/25 Portrait Tag</t>
  </si>
  <si>
    <t>TAG Aquilegia Clementine Mix 25/25 Portrait Tag</t>
  </si>
  <si>
    <t>TAG Aquilegia Clementine Red 25/25 Portrait Tag</t>
  </si>
  <si>
    <t>TAG Aquilegia Clementine Salmon Rose 25/25 Portrait Tag</t>
  </si>
  <si>
    <t>TAG Aquilegia Earlybird Blue White 25/25 Portrait Tag</t>
  </si>
  <si>
    <t>TAG Aquilegia Earlybird Mixture 25/25 Portrait Tag</t>
  </si>
  <si>
    <t>TAG Aquilegia Earlybird Purple Blue 25/25 Portrait Tag</t>
  </si>
  <si>
    <t>TAG Aquilegia Earlybird Purple White 25/25 Portrait Tag</t>
  </si>
  <si>
    <t>TAG Aquilegia Earlybird Purple Yellow 25/25 Portrait Tag</t>
  </si>
  <si>
    <t>TAG Aquilegia Earlybird Red White 25/25 Portrait Tag</t>
  </si>
  <si>
    <t>TAG Aquilegia Earlybird Red Yellow 25/25 Portrait Tag</t>
  </si>
  <si>
    <t>TAG Aquilegia Earlybird White 25/25 Portrait Tag</t>
  </si>
  <si>
    <t>TAG Aquilegia Earlybird Yellow 25/25 Portrait Tag</t>
  </si>
  <si>
    <t>TAG Aquilegia Kirigami Deep Blue And White 25/25 Portrait Tag SF</t>
  </si>
  <si>
    <t>TAG Aquilegia Kirigami Light Blue And White 25/25 Portrait Tag SF</t>
  </si>
  <si>
    <t>TAG Aquilegia Kirigami Mix 25/25 Portrait Tag SF</t>
  </si>
  <si>
    <t>TAG Aquilegia Kirigami Red/White 25/25 Portrait Tag SF</t>
  </si>
  <si>
    <t>TAG Aquilegia Kirigami Rose/Pink 25/25 Portrait Tag SF</t>
  </si>
  <si>
    <t>TAG Aquilegia Kirigami Yellow 25/25 Portrait Tag SF</t>
  </si>
  <si>
    <t>TAG Aquilegia Little Lanterns 25/25 Portrait Tag</t>
  </si>
  <si>
    <t>TAG Aquilegia McKana Giants Hybrid 100/100 Pixie Tag</t>
  </si>
  <si>
    <t>TAG Aquilegia McKana Giants Hybrid 25/25 Portrait Tag</t>
  </si>
  <si>
    <t>TAG Aquilegia Mix GENERIC 100/100 Pixie Tag</t>
  </si>
  <si>
    <t>TAG Aquilegia Mix GENERIC 25/25 Portrait Tag</t>
  </si>
  <si>
    <t>TAG Aquilegia Origami Blue And White 25/25 Portrait Tag SF</t>
  </si>
  <si>
    <t>TAG Aquilegia Origami Mix 25/25 Portrait Tag SF</t>
  </si>
  <si>
    <t>TAG Aquilegia Origami Red And White 25/25 Portrait Tag SF</t>
  </si>
  <si>
    <t>TAG Aquilegia Songbird Blue Bird 100/100 Pixie Tag</t>
  </si>
  <si>
    <t>TAG Aquilegia Songbird Cardinal 25/25 Portrait Tag</t>
  </si>
  <si>
    <t>TAG Aquilegia Songbird Mix 25/25 Portrait Tag</t>
  </si>
  <si>
    <t>TAG Aquilegia Songbird Robin 25/25 Portrait Tag</t>
  </si>
  <si>
    <t>TAG Aquilegia Swan Blue And White 25/25 Portrait Tag</t>
  </si>
  <si>
    <t>TAG Aquilegia Swan Burgundy White 25/25 Portrait Tag</t>
  </si>
  <si>
    <t>TAG Aquilegia Swan Mix 25/25 Portrait Tag</t>
  </si>
  <si>
    <t>TAG Aquilegia Swan Pink And Yellow 25/25 Portrait Tag</t>
  </si>
  <si>
    <t>TAG Aquilegia Swan Red And White 25/25 Portrait Tag</t>
  </si>
  <si>
    <t>TAG Aquilegia Swan Violet And White 25/25 Portrait Tag</t>
  </si>
  <si>
    <t>TAG Aquilegia Swan Yellow 25/25 Portrait Tag</t>
  </si>
  <si>
    <t>TAG Aquilegia Winky Blue White 25/25 Portrait Tag</t>
  </si>
  <si>
    <t>TAG Aquilegia Winky Double Dark Blue White 25/25 Portrait Tag</t>
  </si>
  <si>
    <t>TAG Aquilegia Winky Double Mix 25/25 Portrait Tag</t>
  </si>
  <si>
    <t>TAG Aquilegia Winky Double Red White 25/25 Portrait Tag</t>
  </si>
  <si>
    <t>TAG Aquilegia Winky Double Rose White 25/25 Portrait Tag</t>
  </si>
  <si>
    <t>TAG Aquilegia Winky Early Sky Blue 100/100 Pixie Tag</t>
  </si>
  <si>
    <t>TAG Aquilegia Winky Mix 25/25 Portrait Tag</t>
  </si>
  <si>
    <t>TAG Aquilegia Winky Purple White 25/25 Portrait Tag</t>
  </si>
  <si>
    <t>TAG Aquilegia Winky Red White 25/25 Portrait Tag</t>
  </si>
  <si>
    <t>TAG Aquilegia Winky Rose Rose 25/25 Portrait Tag</t>
  </si>
  <si>
    <t>TAG Arabis Barranca Deep Rose 25/25 Portrait Tag</t>
  </si>
  <si>
    <t>TAG Arabis Barranca Pink 25/25 Portrait Tag</t>
  </si>
  <si>
    <t>TAG Arabis Catwalk Pink 25/25 Portrait Tag</t>
  </si>
  <si>
    <t>TAG Arabis Catwalk White 25/25 Portrait Tag</t>
  </si>
  <si>
    <t>TAG Arabis Compinkie 100/100 Pixie Tag</t>
  </si>
  <si>
    <t>TAG Arabis Little Treasure Deep Rose 25/25 Portrait Tag SF</t>
  </si>
  <si>
    <t>TAG Arabis Little Treasure White 25/25 Portrait Tag SF</t>
  </si>
  <si>
    <t>TAG Arabis Old Gold 25/25 Portrait Tag</t>
  </si>
  <si>
    <t>TAG Arabis Rock Cress GENERIC 25/25 Portrait Tag</t>
  </si>
  <si>
    <t>TAG Arabis Snowcap 100/100 Pixie Tag</t>
  </si>
  <si>
    <t>TAG Arabis Snowcap 25/25 Portrait Tag</t>
  </si>
  <si>
    <t>TAG Arabis Spring Charm 25/25 Portrait Tag</t>
  </si>
  <si>
    <t>TAG Arabis Variegata 25/25 Portrait Tag</t>
  </si>
  <si>
    <t>TAG Aralia Aralia 100/100 Pixie Tag</t>
  </si>
  <si>
    <t>TAG Aralia Dizygo Elegantissima 100/100 Pixie Tag</t>
  </si>
  <si>
    <t>TAG Aralia Sun King 25/25 Portrait Tag</t>
  </si>
  <si>
    <t>TAG Arctotis The Ravers Bumble Bee 50/50 Petite Portrait DO FUL</t>
  </si>
  <si>
    <t>TAG Ardisia Crenata 100/100 Pixie Tag</t>
  </si>
  <si>
    <t>TAG Arenaria Avalanche 25/25 Portrait Tag</t>
  </si>
  <si>
    <t>TAG Arenaria Blizzard Compact 25/25 Portrait Tag SF</t>
  </si>
  <si>
    <t>TAG Arenaria Montana 25/25 Portrait Tag</t>
  </si>
  <si>
    <t>TAG Arenaria Summer White 25/25 Portrait Tag SF</t>
  </si>
  <si>
    <t>TAG Arenaria Summer White 50/50 Petite Portrait SF FUL</t>
  </si>
  <si>
    <t>TAG Arenaria Winter Lemon 25/25 Portrait Tag SF</t>
  </si>
  <si>
    <t>TAG Arenaria Winter White 25/25 Portrait Tag SF</t>
  </si>
  <si>
    <t>TAG Argyranthemum Angelic Series 100/100 Pixie Tag</t>
  </si>
  <si>
    <t>TAG Argyranthemum Beauty Yellow 50/50 Petite Portrait DO FUL</t>
  </si>
  <si>
    <t>TAG Argyranthemum Butterfly 100/100 Pixie Tag</t>
  </si>
  <si>
    <t>TAG Argyranthemum Butterfly 50/50 Petite Portrait DO FUL</t>
  </si>
  <si>
    <t>TAG Argyranthemum Comet Pink 50/50 Petite Portrait DO FUL</t>
  </si>
  <si>
    <t>TAG Argyranthemum Comet Pink Shades 50/50 Petite Portrait DO FUL</t>
  </si>
  <si>
    <t>TAG Argyranthemum Comet Red 50/50 Petite Portrait DO FUL</t>
  </si>
  <si>
    <t>TAG Argyranthemum Comet White 50/50 Petite Portrait DO FUL</t>
  </si>
  <si>
    <t>TAG Argyranthemum Comet Yellow 50/50 Petite Portrait DO FUL</t>
  </si>
  <si>
    <t>TAG Argyranthemum Everest 100/100 Pixie Tag</t>
  </si>
  <si>
    <t>TAG Argyranthemum Go Daisy Series 100/100 Pixie Tag</t>
  </si>
  <si>
    <t>TAG Argyranthemum Lollies Series 100/100 Pixie Tag</t>
  </si>
  <si>
    <t>TAG Argyranthemum Marguerite Daisy GENERIC 100/100 Pixie Tag</t>
  </si>
  <si>
    <t>TAG Argyranthemum Sassy DO FULuble Deep Rose 50/50 Petite Portrait SF FUL</t>
  </si>
  <si>
    <t>TAG Argyranthemum Sassy DO FULuble Yellow 50/50 Petite Portrait SF FUL</t>
  </si>
  <si>
    <t>TAG Argyranthemum Sassy Red Marguerite 50/50 Petite Portrait SF FUL</t>
  </si>
  <si>
    <t>TAG Argyranthemum Sassy Rose 50/50 Petite Portrait SF FUL</t>
  </si>
  <si>
    <t>TAG Argyranthemum Sassy White 50/50 Petite Portrait SF FUL</t>
  </si>
  <si>
    <t>TAG Argyranthemum Sunny Spring 100/100 Pixie Tag</t>
  </si>
  <si>
    <t>TAG Argyranthemum White GENERIC 100/100 Pixie Tag</t>
  </si>
  <si>
    <t>TAG Argyranthemum Yellow GENERIC 100/100 Pixie Tag</t>
  </si>
  <si>
    <t>TAG Armeria Alba Maritima 25/25 Portrait Tag</t>
  </si>
  <si>
    <t>TAG Armeria Ballerina Lilac 25/25 Portrait Tag</t>
  </si>
  <si>
    <t>TAG Armeria Ballerina Mix 25/25 Portrait Tag</t>
  </si>
  <si>
    <t>TAG Armeria Ballerina Red 25/25 Portrait Tag</t>
  </si>
  <si>
    <t>TAG Armeria Dreameria Daydream 25/25 Portrait Tag</t>
  </si>
  <si>
    <t>TAG Armeria Dreameria Dream Clouds 25/25 Portrait Tag</t>
  </si>
  <si>
    <t>TAG Armeria Dreameria Dream Weaver 25/25 Portrait Tag</t>
  </si>
  <si>
    <t>TAG Armeria Dreameria Dreamland 25/25 Portrait Tag</t>
  </si>
  <si>
    <t>TAG Armeria Dreameria Hypnotic Dreams 25/25 Portrait Tag</t>
  </si>
  <si>
    <t>TAG Armeria Dreameria Sweet Dreams 25/25 Portrait Tag</t>
  </si>
  <si>
    <t>TAG Armeria Dreameria Vivid Dreams 25/25 Portrait Tag</t>
  </si>
  <si>
    <t>TAG Armeria Morning Star Deep Rose 25/25 Portrait Tag</t>
  </si>
  <si>
    <t>TAG Armeria Nifty Thrifty 25/25 Portrait Tag</t>
  </si>
  <si>
    <t>TAG Armeria Pink Shades 100/100 Pixie Tag</t>
  </si>
  <si>
    <t>TAG Armeria Splendens 25/25 Portrait Tag</t>
  </si>
  <si>
    <t>TAG Armeria Thrift Sea Pink GENERIC 25/25 Portrait Tag</t>
  </si>
  <si>
    <t>TAG Armoracia Horseradish GENERIC 100/100 Pixie Tag</t>
  </si>
  <si>
    <t>TAG Artemisia Coca Cola Plant 100/100 Pixie Tag</t>
  </si>
  <si>
    <t>TAG Artemisia FanciFillers Sea Salt 50/50 Petite Portrait DO FUL</t>
  </si>
  <si>
    <t>TAG Artemisia French Tarragon 100/100 Pixie Tag DO FUL</t>
  </si>
  <si>
    <t>TAG Artemisia French Tarragon 50/50 Petite Portrait DO FUL</t>
  </si>
  <si>
    <t>TAG Artemisia Glacier 25/25 Portrait Tag</t>
  </si>
  <si>
    <t>TAG Artemisia Makana Silver 25/25 Portrait Tag</t>
  </si>
  <si>
    <t>TAG Artemisia Parfum D' Ethiopia 50/50 Petite Portrait DO FUL</t>
  </si>
  <si>
    <t>TAG Artemisia Powis Castle 100/100 Pixie Tag</t>
  </si>
  <si>
    <t>TAG Artemisia Powis Castle 25/25 Portrait Tag</t>
  </si>
  <si>
    <t>TAG Artemisia Powis Castle 50/50 Petite Portrait DO FUL</t>
  </si>
  <si>
    <t>TAG Artemisia Sea Salt 100/100 Pixie Tag</t>
  </si>
  <si>
    <t>TAG Artemisia Silver Brocade 100/100 Pixie Tag DO FUL</t>
  </si>
  <si>
    <t>TAG Artemisia Silver Brocade 25/25 Portrait Tag</t>
  </si>
  <si>
    <t>TAG Artemisia Silver Brocade 50/50 Petite Portrait DO FUL</t>
  </si>
  <si>
    <t>TAG Artemisia Silver Cascade 100/100 Pixie Tag</t>
  </si>
  <si>
    <t>TAG Artemisia Silver Mound 100/100 Pixie Tag</t>
  </si>
  <si>
    <t>TAG Artemisia Silver Mound 25/25 Portrait Tag</t>
  </si>
  <si>
    <t>TAG Artemisia Silver Mound 50/50 Petite Portrait DO FUL</t>
  </si>
  <si>
    <t>TAG Artemisia Silver Mound CN5015 100/100 Pixie Tag DO FUL</t>
  </si>
  <si>
    <t>TAG Artemisia SunFern Arcadia 25/25 Portrait Tag</t>
  </si>
  <si>
    <t>TAG Artemisia SunFern Olympia 25/25 Portrait Tag</t>
  </si>
  <si>
    <t>TAG Artemisia Tolergon 25/25 Portrait Tag</t>
  </si>
  <si>
    <t>TAG Artemisia White Sage Hybrid 25/25 Portrait Tag</t>
  </si>
  <si>
    <t>TAG Arugula 100/100 Pixie Tag</t>
  </si>
  <si>
    <t>TAG Arugula Astro 100/100 Pixie Tag</t>
  </si>
  <si>
    <t>TAG Aruncus Aethusifolius 25/25 Portrait Tag</t>
  </si>
  <si>
    <t>TAG Aruncus Dioicus Sylvestris 25/25 Portrait Tag</t>
  </si>
  <si>
    <t>TAG Asarina Blue GENERIC 100/100 Pixie Tag</t>
  </si>
  <si>
    <t>TAG Asarum Canadense 25/25 Portrait Tag</t>
  </si>
  <si>
    <t>TAG Asclepias Butterfly Red 100/100 Pixie Tag</t>
  </si>
  <si>
    <t>TAG Asclepias Butterfly Weed GENERIC 25/25 Portrait Tag</t>
  </si>
  <si>
    <t>TAG Asclepias Cinderella 25/25 Portrait Tag</t>
  </si>
  <si>
    <t>TAG Asclepias Hello Yellow 25/25 Portrait Tag</t>
  </si>
  <si>
    <t>TAG Asclepias Orange Tuberosa 100/100 Pixie Tag</t>
  </si>
  <si>
    <t>TAG Asclepias Orange Tuberosa 25/25 Portrait Tag</t>
  </si>
  <si>
    <t>TAG Asclepias Silky Deep Red 100/100 Pixie Tag</t>
  </si>
  <si>
    <t>TAG Asclepias Silky Gold 100/100 Pixie Tag</t>
  </si>
  <si>
    <t>TAG Asclepias Silky Mix 100/100 Pixie Tag</t>
  </si>
  <si>
    <t>TAG Asclepias Silky Scarlet 100/100 Pixie Tag</t>
  </si>
  <si>
    <t>TAG Asparagus GENERIC 100/100 Pixie Tag</t>
  </si>
  <si>
    <t>TAG Asparagus Mary Washington 25/25 Portrait Tag</t>
  </si>
  <si>
    <t>TAG Asparagus Fern Myersii 100/100 Pixie Tag</t>
  </si>
  <si>
    <t>TAG Asparagus Fern Plumosus Nanus 100/100 Pixie Tag</t>
  </si>
  <si>
    <t>TAG Asparagus Fern Plumosus Setaceus 100/100 Pixie Tag</t>
  </si>
  <si>
    <t>TAG Asparagus Fern Sprengeri 100/100 Hang Tag</t>
  </si>
  <si>
    <t>TAG Asparagus Fern Sprengeri 100/100 Pixie Tag</t>
  </si>
  <si>
    <t>TAG Asparagus Fern Sprengeri Bilingual 100/100 Pixie Tag</t>
  </si>
  <si>
    <t>TAG Aster Alpine GENERIC 100/100 Pixie Tag</t>
  </si>
  <si>
    <t>TAG Aster Alpine GENERIC 25/25 Portrait Tag</t>
  </si>
  <si>
    <t>TAG Aster Annual GENERIC 100/100 Pixie Tag</t>
  </si>
  <si>
    <t>TAG Aster Aurelia Yellow 50/50 Petite Portrait SF FUL</t>
  </si>
  <si>
    <t>TAG Aster Ball Florist Mix 100/100 Pixie Tag</t>
  </si>
  <si>
    <t>TAG Aster Believer 100/100 Pixie Tag</t>
  </si>
  <si>
    <t>TAG Aster Believer Purple 50/50 Pixie Tag SF FUL</t>
  </si>
  <si>
    <t>TAG Aster Blue GENERIC 100/100 Pixie Tag</t>
  </si>
  <si>
    <t>TAG Aster Bonita Series 100/100 Pixie Tag</t>
  </si>
  <si>
    <t>TAG Aster Bouquet Powderpuffs Mix 100/100 Pixie Tag</t>
  </si>
  <si>
    <t>TAG Aster Dark Beauty 25/25 Portrait Tag</t>
  </si>
  <si>
    <t>TAG Aster Daydream 100/100 Pixie Tag</t>
  </si>
  <si>
    <t>TAG Aster Daydream Lavender 50/50 Pixie Tag SF FUL</t>
  </si>
  <si>
    <t>TAG Aster Days 100/100 Pixie Tag</t>
  </si>
  <si>
    <t>TAG Aster Days Blue 50/50 Pixie Tag SF FUL</t>
  </si>
  <si>
    <t>TAG Aster Dragon 100/100 Pixie Tag</t>
  </si>
  <si>
    <t>TAG Aster Dragon Blue 50/50 Pixie Tag SF FUL</t>
  </si>
  <si>
    <t>TAG Aster GENERIC 25/25 Portrait Tag</t>
  </si>
  <si>
    <t>TAG Aster Hazy 100/100 Pixie Tag</t>
  </si>
  <si>
    <t>TAG Aster Hazy Dark Pink 50/50 Pixie Tag SF FUL</t>
  </si>
  <si>
    <t>TAG Aster Henry Blue I 100/100 Pixie Tag SF</t>
  </si>
  <si>
    <t>TAG Aster Henry I Blue 50/50 Pixie Tag SF FUL</t>
  </si>
  <si>
    <t>TAG Aster Henry Pink I 100/100 Pixie Tag SF</t>
  </si>
  <si>
    <t>TAG Aster Henry I Pink 50/50 Pixie Tag SF FUL</t>
  </si>
  <si>
    <t>TAG Aster Henry Purple I 100/100 Pixie Tag SF</t>
  </si>
  <si>
    <t>TAG Aster Henry I Purple 50/50 Pixie Tag SF FUL</t>
  </si>
  <si>
    <t>TAG Aster Henry Pink III 100/100 Pixie Tag SF</t>
  </si>
  <si>
    <t>TAG Aster Henry III Pink 50/50 Pixie Tag SF FUL</t>
  </si>
  <si>
    <t>TAG Aster Henry Purple III 100/100 Pixie Tag SF</t>
  </si>
  <si>
    <t>TAG Aster Henry III Purple 50/50 Pixie Tag SF FUL</t>
  </si>
  <si>
    <t>TAG Aster Island Barbados 100/100 Pixie Tag DO FUL</t>
  </si>
  <si>
    <t>TAG Aster Island Samoa 100/100 Pixie Tag DO FUL</t>
  </si>
  <si>
    <t>TAG Aster Island Tonga 100/100 Pixie Tag DO FUL</t>
  </si>
  <si>
    <t>TAG Aster Magic Pink 100/100 Pixie Tag SF</t>
  </si>
  <si>
    <t>TAG Aster Magic Pink 50/50 Pixie Tag SF FUL</t>
  </si>
  <si>
    <t>TAG Aster Magic Purple 100/100 Pixie Tag SF</t>
  </si>
  <si>
    <t>TAG Aster Magic Purple 50/50 Pixie Tag SF FUL</t>
  </si>
  <si>
    <t>TAG Aster Marie Dark Pink III 100/100 Pixie Tag SF</t>
  </si>
  <si>
    <t>TAG Aster Marie III Dark Pink 50/50 Pixie Tag SF FUL</t>
  </si>
  <si>
    <t>TAG Aster Matsumoto Mix 100/100 Pixie Tag</t>
  </si>
  <si>
    <t>TAG Aster Monch 25/25 Portrait Tag</t>
  </si>
  <si>
    <t>TAG Aster Perennial GENERIC 100/100 Pixie Tag</t>
  </si>
  <si>
    <t>TAG Aster Perfection Mix 100/100 Pixie Tag</t>
  </si>
  <si>
    <t>TAG Aster Peter Blue III 100/100 Pixie Tag</t>
  </si>
  <si>
    <t>TAG Aster Peter III Blue 50/50 Pixie Tag SF FUL</t>
  </si>
  <si>
    <t>TAG Aster Pink GENERIC 100/100 Pixie Tag</t>
  </si>
  <si>
    <t>TAG Aster Pixie Princess Mix 100/100 Pixie Tag</t>
  </si>
  <si>
    <t>TAG Aster Pot 'N Patio Blue 100/100 Pixie Tag</t>
  </si>
  <si>
    <t>TAG Aster Pot 'N Patio Mix 100/100 Pixie Tag</t>
  </si>
  <si>
    <t>TAG Aster Pot 'N Patio Pink 100/100 Pixie Tag</t>
  </si>
  <si>
    <t>TAG Aster Pot 'N Patio Scarlet 100/100 Pixie Tag</t>
  </si>
  <si>
    <t>TAG Aster Professor Kippenberg 25/25 Portrait Tag</t>
  </si>
  <si>
    <t>TAG Aster Puff White 100/100 Pixie Tag SF</t>
  </si>
  <si>
    <t>TAG Aster Puff White 50/50 Pixie Tag SF FUL</t>
  </si>
  <si>
    <t>TAG Aster Purple Dome 25/25 Portrait Tag</t>
  </si>
  <si>
    <t>TAG Aster Purple GENERIC 100/100 Pixie Tag</t>
  </si>
  <si>
    <t>TAG Aster Showmakers Arctic White 50/50 Pixie Tag SF FUL</t>
  </si>
  <si>
    <t>TAG Aster Showmakers Blue Bayou 50/50 Petite Portrait SF FUL</t>
  </si>
  <si>
    <t>TAG Aster Showmakers Blue Bayou 50/50 Pixie Tag SF FUL</t>
  </si>
  <si>
    <t>TAG Aster Showmakers Indigo Ice 50/50 Pixie Tag SF FUL</t>
  </si>
  <si>
    <t>TAG Aster Showmakers Lavender 50/50 Pixie Tag SF FUL</t>
  </si>
  <si>
    <t>TAG Aster Showmakers Lilac Sunset 50/50 Pixie Tag SF FUL</t>
  </si>
  <si>
    <t>TAG Aster Showmakers Magenta 50/50 Pixie Tag SF FUL</t>
  </si>
  <si>
    <t>TAG Aster Showmakers Pretty Pink 50/50 Petite Portrait SF FUL</t>
  </si>
  <si>
    <t>TAG Aster Showmakers Pretty Pink 50/50 Pixie Tag SF FUL</t>
  </si>
  <si>
    <t>TAG Aster Tall GENERIC 100/100 Pixie Tag</t>
  </si>
  <si>
    <t>TAG Aster Tiara Royal Pink 50/50 Pixie Tag SF FUL</t>
  </si>
  <si>
    <t>TAG Aster Tiara Royal Purple 50/50 Pixie Tag SF FUL</t>
  </si>
  <si>
    <t>TAG Aster White GENERIC 100/100 Pixie Tag</t>
  </si>
  <si>
    <t>TAG Aster Wood's Blue 25/25 Portrait Tag</t>
  </si>
  <si>
    <t>TAG Aster Wood's Pink 25/25 Portrait Tag</t>
  </si>
  <si>
    <t>TAG Aster Wood's Purple 25/25 Portrait Tag</t>
  </si>
  <si>
    <t>TAG Astilbe Bridal Veil 25/25 Portrait Tag</t>
  </si>
  <si>
    <t>TAG Astilbe Deutschland 25/25 Portrait Tag</t>
  </si>
  <si>
    <t>TAG Astilbe Fanal 25/25 Portrait Tag</t>
  </si>
  <si>
    <t>TAG Astilbe Mix 25/25 Portrait Tag</t>
  </si>
  <si>
    <t>TAG Astilbe Montgomery 25/25 Portrait Tag</t>
  </si>
  <si>
    <t>TAG Astilbe Peach Blossom 25/25 Portrait Tag</t>
  </si>
  <si>
    <t>TAG Astilbe Pumila 25/25 Portrait Tag</t>
  </si>
  <si>
    <t>TAG Astilbe Rhapsody 25/25 Portrait Tag</t>
  </si>
  <si>
    <t>TAG Astilbe Rheinland 25/25 Portrait Tag</t>
  </si>
  <si>
    <t>TAG Astilbe Snowdrift 25/25 Portrait Tag</t>
  </si>
  <si>
    <t>TAG Astilbe Vision In Pink 25/25 Portrait Tag</t>
  </si>
  <si>
    <t>TAG Astilbe Vision In Red 25/25 Portrait Tag</t>
  </si>
  <si>
    <t>TAG Astilbe Visions 25/25 Portrait Tag</t>
  </si>
  <si>
    <t>TAG Aubrieta Audrey Blue Shades 25/25 Portrait Tag SF</t>
  </si>
  <si>
    <t>TAG Aubrieta Audrey Purple Shades 25/25 Portrait Tag SF</t>
  </si>
  <si>
    <t>TAG Aubrieta Audrey Skyblue 25/25 Portrait Tag SF</t>
  </si>
  <si>
    <t>TAG Aubrieta Axcent Antique Rose 50/50 Petite Portrait SF FUL</t>
  </si>
  <si>
    <t>TAG Aubrieta Axcent Burgundy 50/50 Petite Portrait SF FUL</t>
  </si>
  <si>
    <t>TAG Aubrieta Axcent Dark Red 50/50 Petite Portrait SF FUL</t>
  </si>
  <si>
    <t>TAG Aubrieta Axcent Deep Purple Improved 50/50 Petite Portrait SF FUL</t>
  </si>
  <si>
    <t>TAG Aubrieta Axcent Light Blue 50/50 Petite Portrait SF FUL</t>
  </si>
  <si>
    <t>TAG Aubrieta Axcent Lilac Improved 50/50 Petite Portrait SF FUL</t>
  </si>
  <si>
    <t>TAG Aubrieta Axcent Series 25/25 Portrait Tag SF</t>
  </si>
  <si>
    <t>TAG Aubrieta Axcent Violet With Eye Improved 50/50 Petite Portrait SF FUL</t>
  </si>
  <si>
    <t>TAG Aubrieta Blue Cascade 100/100 Pixie Tag</t>
  </si>
  <si>
    <t>TAG Aubrieta Red Cascade 100/100 Pixie Tag</t>
  </si>
  <si>
    <t>TAG Aubrieta Glacier Red 25/25 Portrait Tag</t>
  </si>
  <si>
    <t>TAG Aubrieta Glacier Red 50/50 Petite Portrait SF FUL</t>
  </si>
  <si>
    <t>TAG Aubrieta Glacier Rose 25/25 Portrait Tag</t>
  </si>
  <si>
    <t>TAG Aubrieta Glacier Sky Blue 25/25 Portrait Tag</t>
  </si>
  <si>
    <t>TAG Aubrieta Glacier Sky Blue 50/50 Petite Portrait SF FUL</t>
  </si>
  <si>
    <t>TAG Aubrieta Glacier Violet 25/25 Portrait Tag</t>
  </si>
  <si>
    <t>TAG Aubrieta Glacier Violet 50/50 Petite Portrait SF FUL</t>
  </si>
  <si>
    <t>TAG Aubrieta Rock Cress GENERIC 25/25 Portrait Tag DO</t>
  </si>
  <si>
    <t>TAG Aubrieta Rock On Blue 100/100 Pixie Tag DO FUL</t>
  </si>
  <si>
    <t>TAG Aubrieta Rock On Pink 100/100 Pixie Tag DO FUL</t>
  </si>
  <si>
    <t>TAG Aubrieta Rock On Purple 100/100 Pixie Tag DO FUL</t>
  </si>
  <si>
    <t>TAG Aubrieta Whitewell Gem 25/25 Portrait Tag</t>
  </si>
  <si>
    <t>TAG Aurinia Compacta 100/100 Pixie Tag</t>
  </si>
  <si>
    <t>TAG Aurinia Gold Dust 100/100 Pixie Tag</t>
  </si>
  <si>
    <t>TAG Aurinia Gold Rush 25/25 Portrait Tag</t>
  </si>
  <si>
    <t>TAG Aurinia Summit Golden Yellow 25/25 Portrait Tag SF</t>
  </si>
  <si>
    <t>TAG Bacopa Atlas Blue 50/50 Petite Portrait DO FUL</t>
  </si>
  <si>
    <t>TAG Bacopa Atlas Pink 50/50 Petite Portrait DO FUL</t>
  </si>
  <si>
    <t>TAG Bacopa Atlas White 50/50 Petite Portrait DO FUL</t>
  </si>
  <si>
    <t>TAG Bacopa Bahia Blue Sand 50/50 Petite Portrait DO FUL</t>
  </si>
  <si>
    <t>TAG Bacopa Bahia Pink Halo 50/50 Petite Portrait DO FUL</t>
  </si>
  <si>
    <t>TAG Bacopa Bahia Pink Sand 50/50 Petite Portrait DO FUL</t>
  </si>
  <si>
    <t>TAG Bacopa Bahia Purple Sand 50/50 Petite Portrait DO FUL</t>
  </si>
  <si>
    <t>TAG Bacopa Bahia Sky Blue 50/50 Petite Portrait DO FUL</t>
  </si>
  <si>
    <t>TAG Bacopa Bahia White 50/50 Petite Portrait DO FUL</t>
  </si>
  <si>
    <t>TAG Bacopa Bahia White Night 50/50 Petite Portrait DO FUL</t>
  </si>
  <si>
    <t>TAG Bacopa Bahia White Sand 50/50 Petite Portrait DO FUL</t>
  </si>
  <si>
    <t>TAG Bacopa Baja 100/100 Pixie Tag</t>
  </si>
  <si>
    <t>TAG Bacopa Betty Series 100/100 Pixie Tag</t>
  </si>
  <si>
    <t>TAG Bacopa Blue GENERIC 100/100 Pixie Tag</t>
  </si>
  <si>
    <t>TAG Bacopa Blutopia 100/100 Pixie Tag</t>
  </si>
  <si>
    <t>TAG Bacopa Calypso Jumbo Deep Lavender 50/50 Petite Portrait SF FUL</t>
  </si>
  <si>
    <t>TAG Bacopa Calypso Jumbo Lilac 50/50 Petite Portrait SF FUL</t>
  </si>
  <si>
    <t>TAG Bacopa Calypso Jumbo Pink Eye 50/50 Petite Portrait SF FUL</t>
  </si>
  <si>
    <t>TAG Bacopa Calypso Jumbo Rose 50/50 Petite Portrait SF FUL</t>
  </si>
  <si>
    <t>TAG Bacopa Calypso Jumbo White 50/50 Petite Portrait SF FUL</t>
  </si>
  <si>
    <t>TAG Bacopa Epic Light Blue 50/50 Petite Portrait DO FUL</t>
  </si>
  <si>
    <t>TAG Bacopa Epic Pink 50/50 Petite Portrait DO FUL</t>
  </si>
  <si>
    <t>TAG Bacopa Epic Pink With Eye 50/50 Petite Portrait DO FUL</t>
  </si>
  <si>
    <t>TAG Bacopa Epic Series 100/100 Pixie Tag</t>
  </si>
  <si>
    <t>TAG Bacopa Epic Violet 50/50 Petite Portrait DO FUL</t>
  </si>
  <si>
    <t>TAG Bacopa Epic White 50/50 Petite Portrait DO FUL</t>
  </si>
  <si>
    <t>TAG Bacopa GENERIC 100/100 Hang Tag</t>
  </si>
  <si>
    <t>TAG Bacopa GENERIC 25/25 Portrait Tag</t>
  </si>
  <si>
    <t>TAG Bacopa Bilingual GENERIC 100/100 Pixie Tag</t>
  </si>
  <si>
    <t>TAG Bacopa Goldstar 100/100 Pixie Tag</t>
  </si>
  <si>
    <t>TAG Bacopa Lavender GENERIC 100/100 Pixie Tag</t>
  </si>
  <si>
    <t>TAG Bacopa Pinktopia 100/100 Pixie Tag</t>
  </si>
  <si>
    <t>TAG Bacopa Scopia Double Indigo 100/100 Pixie Tag</t>
  </si>
  <si>
    <t>TAG Bacopa Scopia Double Lavender 100/100 Pixie Tag</t>
  </si>
  <si>
    <t>TAG Bacopa Scopia Double Pink 100/100 Pixie Tag</t>
  </si>
  <si>
    <t>TAG Bacopa Scopia Double Snowball 100/100 Pixie Tag</t>
  </si>
  <si>
    <t>TAG Bacopa Scopia Golden Leaves White 100/100 Pixie Tag</t>
  </si>
  <si>
    <t>TAG Bacopa Scopia Great Pink Ring 100/100 Pixie Tag</t>
  </si>
  <si>
    <t>TAG Bacopa Scopia Great Regal Blue 100/100 Pixie Tag</t>
  </si>
  <si>
    <t>TAG Bacopa Scopia Great Series 100/100 Pixie Tag</t>
  </si>
  <si>
    <t>TAG Bacopa Scopia Great White 100/100 Pixie Tag</t>
  </si>
  <si>
    <t>TAG Bacopa Scopia Gulliver Blue 100/100 Pixie Tag</t>
  </si>
  <si>
    <t>TAG Bacopa Scopia Gulliver Blue Sensation 100/100 Pixie Tag</t>
  </si>
  <si>
    <t>TAG Bacopa Scopia Gulliver Compact Blush 22 100/100 Pixie Tag</t>
  </si>
  <si>
    <t>TAG Bacopa Scopia Gulliver Compact Purple 100/100 Pixie Tag</t>
  </si>
  <si>
    <t>TAG Bacopa Scopia Gulliver Compact Rosa 22 100/100 Pixie Tag</t>
  </si>
  <si>
    <t>TAG Bacopa Scopia Gulliver Compact White 100/100 Pixie Tag</t>
  </si>
  <si>
    <t>TAG Bacopa Scopia Gulliver Dynamic White 100/100 Pixie Tag</t>
  </si>
  <si>
    <t>TAG Bacopa Scopia Gulliver Pink 100/100 Pixie Tag</t>
  </si>
  <si>
    <t>TAG Bacopa Scopia Gulliver Pink Heart 100/100 Pixie Tag</t>
  </si>
  <si>
    <t>TAG Bacopa Scopia Gulliver Snow 100/100 Pixie Tag</t>
  </si>
  <si>
    <t>TAG Bacopa Scopia Gulliver Violet 100/100 Pixie Tag</t>
  </si>
  <si>
    <t>TAG Bacopa Scopia Gulliver White 100/100 Pixie Tag</t>
  </si>
  <si>
    <t>TAG Bacopa Secrets XXL Blue Delight 100/100 Pixie Tag</t>
  </si>
  <si>
    <t>TAG Bacopa Secrets XXL Central Pink 100/100 Pixie Tag</t>
  </si>
  <si>
    <t>TAG Bacopa Secrets XXL White 100/100 Pixie Tag</t>
  </si>
  <si>
    <t>TAG Bacopa Snowtopia 100/100 Pixie Tag</t>
  </si>
  <si>
    <t>TAG Bacopa Stardom Goldstar 100/100 Pixie Tag</t>
  </si>
  <si>
    <t>TAG Bacopa Stardom Pink 100/100 Pixie Tag</t>
  </si>
  <si>
    <t>TAG Bacopa Stardom Purple 100/100 Pixie Tag</t>
  </si>
  <si>
    <t>TAG Bacopa Stardom White Fusion 22 100/100 Pixie Tag</t>
  </si>
  <si>
    <t>TAG Bacopa Taifun Mega White 100/100 Pixie Tag</t>
  </si>
  <si>
    <t>TAG Bacopa Taifun Mega White 50/50 Petite Portrait DO FUL</t>
  </si>
  <si>
    <t>TAG Bacopa White GENERIC 100/100 Pixie Tag</t>
  </si>
  <si>
    <t>TAG Baptisia Australis 25/25 Portrait Tag</t>
  </si>
  <si>
    <t>TAG Basil African Blue 100/100 Pixie Tag</t>
  </si>
  <si>
    <t>TAG Basil Amethyst 100/100 Pixie Tag</t>
  </si>
  <si>
    <t>TAG Basil Aristotle 100/100 Pixie Tag SF</t>
  </si>
  <si>
    <t>TAG Basil Boxwood 100/100 Pixie Tag</t>
  </si>
  <si>
    <t>TAG Basil Bush 100/100 Pixie Tag</t>
  </si>
  <si>
    <t>TAG Basil Cardinal 100/100 Pixie Tag</t>
  </si>
  <si>
    <t>TAG Basil Cinnamon 100/100 Pixie Tag</t>
  </si>
  <si>
    <t>TAG Basil Cinnamon 25/25 Portrait Tag</t>
  </si>
  <si>
    <t>TAG Basil Coldasil 25/25 Portrait Tag</t>
  </si>
  <si>
    <t>TAG Basil Columnar Greek 100/100 Pixie Tag</t>
  </si>
  <si>
    <t>TAG Basil Dark Opal 100/100 Pixie Tag</t>
  </si>
  <si>
    <t>TAG Basil Dolce Fresca 100/100 Pixie Tag</t>
  </si>
  <si>
    <t>TAG Basil Dolce Fresca 25/25 Portrait Tag</t>
  </si>
  <si>
    <t>TAG Basil Everleaf Emerald Towers 100/100 Pixie Tag</t>
  </si>
  <si>
    <t>TAG Basil Everleaf Genovese 100/100 Pixie Tag</t>
  </si>
  <si>
    <t>TAG Basil Everleaf Genovese 25/25 Portrait Tag</t>
  </si>
  <si>
    <t>TAG Basil Everleaf Lemon 100/100 Pixie Tag</t>
  </si>
  <si>
    <t>TAG Basil Everleaf Thai Towers 100/100 Pixie Tag</t>
  </si>
  <si>
    <t>TAG Basil Fino Verde 100/100 Pixie Tag</t>
  </si>
  <si>
    <t>TAG Basil Garden Leader 100/100 Pixie Tag</t>
  </si>
  <si>
    <t>TAG Basil GENERIC 100/100 Pixie Tag</t>
  </si>
  <si>
    <t>TAG Basil GENERIC 25/25 Portrait Tag</t>
  </si>
  <si>
    <t>TAG Basil Genovese 100/100 Pixie Tag</t>
  </si>
  <si>
    <t>TAG Basil Genovese 200/200 Thriftee Tag</t>
  </si>
  <si>
    <t>TAG Basil Genovese 25/25 Portrait Tag</t>
  </si>
  <si>
    <t>TAG Basil Genovese Compact 100/100 Pixie Tag</t>
  </si>
  <si>
    <t>TAG Basil Holy 100/100 Pixie Tag</t>
  </si>
  <si>
    <t>TAG Basil Italian Large Leaf 100/100 Pixie Tag</t>
  </si>
  <si>
    <t>TAG Basil Italian Large Leaf 200/200 Thriftee Tag</t>
  </si>
  <si>
    <t>TAG Basil Italian Large Leaf 25/25 Portrait Tag</t>
  </si>
  <si>
    <t>TAG Basil Kapoor Tulsi 25/25 Portrait Tag</t>
  </si>
  <si>
    <t>TAG Basil Kasar 25/25 Portrait Tag</t>
  </si>
  <si>
    <t>TAG Basil Kitchen Minis Bonsai 100/100 Pixie Tag</t>
  </si>
  <si>
    <t>TAG Basil Kitchen MInis Bonsai 25/25 Portrait Tag</t>
  </si>
  <si>
    <t>TAG Basil Lemon 100/100 Pixie Tag</t>
  </si>
  <si>
    <t>TAG Basil Lemon 25/25 Portrait Tag</t>
  </si>
  <si>
    <t>TAG Basil Lettuce Leaf 100/100 Pixie Tag</t>
  </si>
  <si>
    <t>TAG Basil Licorice 100/100 Pixie Tag</t>
  </si>
  <si>
    <t>TAG Basil Lime 100/100 Pixie Tag</t>
  </si>
  <si>
    <t>TAG Basil Mammoth 100/100 Pixie Tag</t>
  </si>
  <si>
    <t>TAG Basil Minette 100/100 Pixie Tag</t>
  </si>
  <si>
    <t>TAG Basil Mrs Burns 100/100 Pixie Tag</t>
  </si>
  <si>
    <t>TAG Basil Mrs Burns 25/25 Portrait Tag</t>
  </si>
  <si>
    <t>TAG Basil Nufar 100/100 Pixie Tag</t>
  </si>
  <si>
    <t>TAG Basil Nufar 25/25 Portrait Tag</t>
  </si>
  <si>
    <t>TAG Basil Persian 100/100 Pixie Tag</t>
  </si>
  <si>
    <t>TAG Basil Pesto 100/100 Pixie Tag DO FUL</t>
  </si>
  <si>
    <t>TAG Basil Pesto Perpetuo 25/25 Portrait Tag</t>
  </si>
  <si>
    <t>TAG Basil Purple Dwarf 100/100 Pixie Tag</t>
  </si>
  <si>
    <t>TAG Basil Purple Ruffles 100/100 Pixie Tag</t>
  </si>
  <si>
    <t>TAG Basil Purple Ruffles 25/25 Portrait Tag</t>
  </si>
  <si>
    <t>TAG Basil Red Ball 100/100 Pixie Tag</t>
  </si>
  <si>
    <t>TAG Basil Red Rubin 100/100 Pixie Tag</t>
  </si>
  <si>
    <t>TAG Basil Red Rubin 25/25 Portrait Tag</t>
  </si>
  <si>
    <t>TAG Basil Rutgers DMR Devotion 100/100 Pixie Tag</t>
  </si>
  <si>
    <t>TAG Basil Rutgers Devotion 25/25 Portrait Tag</t>
  </si>
  <si>
    <t>TAG Basil Rutgers DMR Obsession 100/100 Pixie Tag</t>
  </si>
  <si>
    <t>TAG Basil Rutgers Obsession 25/25 Portrait Tag</t>
  </si>
  <si>
    <t>TAG Basil Rutgers DMR Passion 100/100 Pixie Tag</t>
  </si>
  <si>
    <t>TAG Basil Rutgers Thunderstruck 25/25 Portrait Tag</t>
  </si>
  <si>
    <t>TAG Basil Siam Queen 100/100 Pixie Tag</t>
  </si>
  <si>
    <t>TAG Basil Siam Queen 25/25 Portrait Tag</t>
  </si>
  <si>
    <t>TAG Basil Spicy Globe 100/100 Pixie Tag</t>
  </si>
  <si>
    <t>TAG Basil Spicy Globe 25/25 Portrait Tag</t>
  </si>
  <si>
    <t>TAG Basil Sweet 100/100 Pixie Tag</t>
  </si>
  <si>
    <t>TAG Basil Sweet 200/200 Thriftee Tag</t>
  </si>
  <si>
    <t>TAG Basil Sweet 25/25 Portrait Tag</t>
  </si>
  <si>
    <t>TAG Basil Sweet Dani 100/100 Pixie Tag</t>
  </si>
  <si>
    <t>TAG Basil Sweet Thai 25/25 Portrait Tag</t>
  </si>
  <si>
    <t>TAG Basil Thai 100/100 Pixie Tag</t>
  </si>
  <si>
    <t>TAG Basil Thunderstruck 100/100 Pixie Tag</t>
  </si>
  <si>
    <t>TAG Basil Ton 100/100 Pixie Tag</t>
  </si>
  <si>
    <t>TAG Basil Valentino 100/100 Pixie Tag</t>
  </si>
  <si>
    <t>TAG Basil Wild Magic 25/25 Portrait Tag</t>
  </si>
  <si>
    <t>TAG Bay La Laurel 25/25 Portrait Tag</t>
  </si>
  <si>
    <t>TAG Bay Laurel 100/100 Pixie Tag</t>
  </si>
  <si>
    <t>TAG Beans Blue Lake Bush 100/100 Pixie Tag</t>
  </si>
  <si>
    <t>TAG Beans Blue Lake Pole 100/100 Pixie Tag</t>
  </si>
  <si>
    <t>TAG Bean Edamame 100/100 Pixie Tag</t>
  </si>
  <si>
    <t>TAG Beans GENERIC 100/100 Pixie Tag</t>
  </si>
  <si>
    <t>TAG Beans Gold N Green Mix 100/100 Pixie Tag</t>
  </si>
  <si>
    <t>TAG Beans Green Bush GENERIC 100/100 Pixie Tag</t>
  </si>
  <si>
    <t>TAG Beans Green GENERIC 100/100 Pixie Tag</t>
  </si>
  <si>
    <t>TAG Beans Green GENERIC 200/200 Thriftee Tag</t>
  </si>
  <si>
    <t>TAG Beans Jade II 100/100 Pixie Tag</t>
  </si>
  <si>
    <t>TAG Beans Kentucky Blue 100/100 Pixie Tag</t>
  </si>
  <si>
    <t>TAG Beans Kentucky Wonder 100/100 Pixie Tag</t>
  </si>
  <si>
    <t>TAG Beans Lima 100/100 Pixie Tag</t>
  </si>
  <si>
    <t>TAG Beans Mascotte 100/100 Pixie Tag</t>
  </si>
  <si>
    <t>TAG Beans Outlaw 100/100 Pixie Tag</t>
  </si>
  <si>
    <t>TAG Beans Provider 100/100 Pixie Tag</t>
  </si>
  <si>
    <t>TAG Beans Romano 100/100 Pixie Tag</t>
  </si>
  <si>
    <t>TAG Beans Royalty Purple Pod 100/100 Pixie Tag</t>
  </si>
  <si>
    <t>TAG Beans Scarlet Runner Bean GENERIC 100/100 Pixie Tag</t>
  </si>
  <si>
    <t>TAG Beans Seychelles 100/100 Pixie Tag</t>
  </si>
  <si>
    <t>TAG Beans Valentino 100/100 Pixie Tag</t>
  </si>
  <si>
    <t>TAG Beans Velour 100/100 Pixie Tag</t>
  </si>
  <si>
    <t>TAG Bean Yardlong 100/100 Pixie Tag</t>
  </si>
  <si>
    <t>TAG Beans Yellow GENERIC 100/100 Pixie Tag</t>
  </si>
  <si>
    <t>TAG Beaucarnea Ponytail Palm 100/100 Pixie Tag</t>
  </si>
  <si>
    <t>TAG Beets Bull's Blood 100/100 Pixie Tag</t>
  </si>
  <si>
    <t>TAG Beets GENERIC 100/100 Pixie Tag</t>
  </si>
  <si>
    <t>TAG Begonia Adonia Pink 100/100 Pixie Tag</t>
  </si>
  <si>
    <t>TAG Begonia Adora Emerald Salmon 50/50 Pixie Tag SF FUL</t>
  </si>
  <si>
    <t>TAG Begonia Adora Moon Dance 50/50 Petite Portrait SF FUL</t>
  </si>
  <si>
    <t>TAG Begonia Adora Satin Rose 50/50 Petite Portrait SF FUL</t>
  </si>
  <si>
    <t>TAG Begonia Adora Velvet Red 50/50 Petite Portrait SF FUL</t>
  </si>
  <si>
    <t>TAG Begonia Ambassador Bicolor 100/100 Pixie Tag</t>
  </si>
  <si>
    <t>TAG Begonia Ambassador Deep Rose 100/100 Pixie Tag</t>
  </si>
  <si>
    <t>TAG Begonia Ambassador Mix 100/100 Pixie Tag</t>
  </si>
  <si>
    <t>TAG Begonia Ambassador Pink 100/100 Pixie Tag</t>
  </si>
  <si>
    <t>TAG Begonia Ambassador Rose 100/100 Pixie Tag</t>
  </si>
  <si>
    <t>TAG Begonia Ambassador Scarlet 100/100 Pixie Tag</t>
  </si>
  <si>
    <t>TAG Begonia Ambassador White 100/100 Pixie Tag</t>
  </si>
  <si>
    <t>TAG Begonia Amber Stone 100/100 Pixie Tag</t>
  </si>
  <si>
    <t>TAG Begonia Amerihybrid Ruffled Red 100/100 Pixie Tag</t>
  </si>
  <si>
    <t>TAG Begonia BabyWing Green Leaf Bicolor 100/100 Pixie Tag</t>
  </si>
  <si>
    <t>TAG Begonia BabyWing Green Leaf Mix 100/100 Pixie Tag</t>
  </si>
  <si>
    <t>TAG Begonia BabyWing Green Leaf Pink 100/100 Pixie Tag</t>
  </si>
  <si>
    <t>TAG Begonia BabyWing Bronze Leaf Red 100/100 Pixie Tag</t>
  </si>
  <si>
    <t>TAG Begonia BabyWing Green Leaf Red 100/100 Pixie Tag</t>
  </si>
  <si>
    <t>TAG Begonia BabyWing Bronze Leaf White 100/100 Pixie Tag</t>
  </si>
  <si>
    <t>TAG Begonia BabyWing Green Leaf White 100/100 Pixie Tag</t>
  </si>
  <si>
    <t>TAG Begonia Bachelorette Trailing Red 50/50 Petite Portrait DO FUL</t>
  </si>
  <si>
    <t>TAG Begonia Bada Bing Green Leaf Mix 100/100 Pixie Tag SF</t>
  </si>
  <si>
    <t>TAG Begonia Bada Bing Green Leaf Pink 100/100 Pixie Tag SF</t>
  </si>
  <si>
    <t>TAG Begonia Bada Bing Green Leaf Rose 100/100 Pixie Tag SF</t>
  </si>
  <si>
    <t>TAG Begonia Bada Bing Green Leaf Rose Bicolor 100/100 Pixie Tag SF</t>
  </si>
  <si>
    <t>TAG Begonia Bada Bing Green Leaf Scarlet 100/100 Pixie Tag SF</t>
  </si>
  <si>
    <t>TAG Begonia Bada Bing Green Leaf White 100/100 Pixie Tag SF</t>
  </si>
  <si>
    <t>TAG Begonia Bada Boom Bronze Leaf Mix 100/100 Pixie Tag SF</t>
  </si>
  <si>
    <t>TAG Begonia Bada Boom Bronze Leaf Pink 100/100 Pixie Tag SF</t>
  </si>
  <si>
    <t>TAG Begonia Bada Boom Bronze Leaf Rose 100/100 Pixie Tag SF</t>
  </si>
  <si>
    <t>TAG Begonia Bada Boom Bronze Leaf Rose Bicolor 100/100 Pixie Tag SF</t>
  </si>
  <si>
    <t>TAG Begonia Bada Boom Bronze Leaf Scarlet 100/100 Pixie Tag SF</t>
  </si>
  <si>
    <t>TAG Begonia Bada Boom Bronze Leaf White 100/100 Pixie Tag SF</t>
  </si>
  <si>
    <t>TAG Begonia Bada Series 100/100 Pixie Tag SF</t>
  </si>
  <si>
    <t>TAG Begonia Bada Total Mix 100/100 Pixie Tag SF</t>
  </si>
  <si>
    <t>TAG Begonia Baladin 100/100 Pixie Tag</t>
  </si>
  <si>
    <t>TAG Begonia Baladin 50/50 Petite Portrait DO FUL</t>
  </si>
  <si>
    <t>TAG Begonia Banita 100/100 Pixie Tag</t>
  </si>
  <si>
    <t>TAG Begonia Barkos 100/100 Pixie Tag</t>
  </si>
  <si>
    <t>TAG Begonia Barkos 50/50 Petite Portrait DO FUL</t>
  </si>
  <si>
    <t>TAG Begonia Batik 100/100 Pixie Tag</t>
  </si>
  <si>
    <t>TAG Begonia Batik 50/50 Petite Portrait DO FUL</t>
  </si>
  <si>
    <t>TAG Begonia Bazan 100/100 Pixie Tag</t>
  </si>
  <si>
    <t>TAG Begonia Birthday Bash Choco Cherry 50/50 Pixie Tag SF FUL</t>
  </si>
  <si>
    <t>TAG Begonia Birthday Bash Cotton Candy 50/50 Pixie Tag SF FUL</t>
  </si>
  <si>
    <t>TAG Begonia Birthday Bash Cream Puff 50/50 Pixie Tag SF FUL</t>
  </si>
  <si>
    <t>TAG Begonia Birthday Bash Raspberry Sherbet 50/50 Pixie Tag SF FUL</t>
  </si>
  <si>
    <t>TAG Begonia Beauvilia Bebe 100/100 Pixie Tag</t>
  </si>
  <si>
    <t>TAG Begonia Beauvilia Dark Salmon 100/100 Pixie Tag</t>
  </si>
  <si>
    <t>TAG Begonia Beauvilia Hot Pink 100/100 Pixie Tag</t>
  </si>
  <si>
    <t>TAG Begonia Beauvilia Red 100/100 Pixie Tag</t>
  </si>
  <si>
    <t>TAG Begonia Beauvilia White 100/100 Pixie Tag</t>
  </si>
  <si>
    <t>TAG Begonia Beauvilia Yellow 22 100/100 Pixie Tag</t>
  </si>
  <si>
    <t>TAG Begonia Belleconia Hot Orange 100/100 Pixie Tag</t>
  </si>
  <si>
    <t>TAG Begonia Belleconia Mango 100/100 Pixie Tag</t>
  </si>
  <si>
    <t>TAG Begonia Belleconia Rose 100/100 Pixie Tag</t>
  </si>
  <si>
    <t>TAG Begonia Belleconia Series 100/100 Pixie Tag</t>
  </si>
  <si>
    <t>TAG Begonia Belleconia Snow 100/100 Pixie Tag</t>
  </si>
  <si>
    <t>TAG Begonia Belleconia Soft Orange 100/100 Pixie Tag</t>
  </si>
  <si>
    <t>TAG Begonia Bellissa Series 100/100 Pixie Tag</t>
  </si>
  <si>
    <t>TAG Begonia Belove Cherry 100/100 Pixie Tag</t>
  </si>
  <si>
    <t>TAG Begonia Belove Peach 100/100 Pixie Tag</t>
  </si>
  <si>
    <t>TAG Begonia Belove Pink 100/100 Pixie Tag</t>
  </si>
  <si>
    <t>TAG Begonia Belove Pink White Heart 100/100 Pixie Tag</t>
  </si>
  <si>
    <t>TAG Begonia Belove Red 100/100 Pixie Tag</t>
  </si>
  <si>
    <t>TAG Begonia Belove Yellow 100/100 Pixie Tag</t>
  </si>
  <si>
    <t>TAG Begonia Berseba Light Pink 100/100 Pixie Tag</t>
  </si>
  <si>
    <t>TAG Begonia Berseba Pink 100/100 Pixie Tag</t>
  </si>
  <si>
    <t>TAG Begonia Berseba Red 100/100 Pixie Tag</t>
  </si>
  <si>
    <t>TAG Begonia Berseba Rhine 50/50 Petite Portrait DO FUL</t>
  </si>
  <si>
    <t>TAG Begonia Bewitched Series 100/100 Pixie Tag</t>
  </si>
  <si>
    <t>TAG Begonia Big Bronze Leaf Deep Pink 100/100 Pixie Tag</t>
  </si>
  <si>
    <t>TAG Begonia Big Bronze Leaf Deep Rose 100/100 Pixie Tag</t>
  </si>
  <si>
    <t>TAG Begonia Big Bronze Leaf Pink 100/100 Pixie Tag</t>
  </si>
  <si>
    <t>TAG Begonia Big Green Leaf Pink 100/100 Pixie Tag</t>
  </si>
  <si>
    <t>TAG Begonia Big Bronze Leaf Red 100/100 Pixie Tag</t>
  </si>
  <si>
    <t>TAG Begonia Big Green Leaf Red 100/100 Pixie Tag</t>
  </si>
  <si>
    <t>TAG Begonia Big Bronze Leaf Rose 100/100 Pixie Tag</t>
  </si>
  <si>
    <t>TAG Begonia Big Green Leaf Rose 100/100 Pixie Tag</t>
  </si>
  <si>
    <t>TAG Begonia Big Series 100/100 Pixie Tag</t>
  </si>
  <si>
    <t>TAG Begonia Big Bronze Leaf White 100/100 Pixie Tag</t>
  </si>
  <si>
    <t>TAG Begonia Big White Green Leaf 100/100 Pixie Tag</t>
  </si>
  <si>
    <t>TAG Begonia Binos Pink 100/100 Pixie Tag</t>
  </si>
  <si>
    <t>TAG Begonia Binos Pink Soft 100/100 Pixie Tag</t>
  </si>
  <si>
    <t>TAG Begonia Bionic Bronze Leaf Red 22 100/100 Pixie Tag SF</t>
  </si>
  <si>
    <t>TAG Begonia Bionic Bronze Leaf Rose 22 100/100 Pixie Tag SF</t>
  </si>
  <si>
    <t>TAG Begonia Bionic Green Leaf Pink 22 100/100 Pixie Tag SF</t>
  </si>
  <si>
    <t>TAG Begonia Bionic Green Leaf Red 22 100/100 Pixie Tag SF</t>
  </si>
  <si>
    <t>TAG Begonia Bronze Leaf Bicolor GENERIC 100/100 Pixie Tag</t>
  </si>
  <si>
    <t>TAG Begonia Bronze Leaf Mix GENERIC 100/100 Pixie Tag</t>
  </si>
  <si>
    <t>TAG Begonia Bronze Leaf Pink GENERIC 100/100 Pixie Tag</t>
  </si>
  <si>
    <t>TAG Begonia Bronze Leaf Red GENERIC 100/100 Pixie Tag</t>
  </si>
  <si>
    <t>TAG Begonia Bronze Leaf Rose GENERIC 100/100 Pixie Tag</t>
  </si>
  <si>
    <t>TAG Begonia Bronze Leaf White GENERIC 100/100 Pixie Tag</t>
  </si>
  <si>
    <t>TAG Begonia Bliss Deep Red 100/100 Pixie Tag</t>
  </si>
  <si>
    <t>TAG Begonia Bliss Mix 100/100 Pixie Tag</t>
  </si>
  <si>
    <t>TAG Begonia Bliss Orange 100/100 Pixie Tag</t>
  </si>
  <si>
    <t>TAG Begonia Bliss Pink Shades 100/100 Pixie Tag</t>
  </si>
  <si>
    <t>TAG Begonia Bliss Scarlet 100/100 Pixie Tag</t>
  </si>
  <si>
    <t>TAG Begonia Bliss White 100/100 Pixie Tag</t>
  </si>
  <si>
    <t>TAG Begonia Bliss Yellow 100/100 Pixie Tag</t>
  </si>
  <si>
    <t>TAG Begonia Blitz 100/100 Pixie Tag</t>
  </si>
  <si>
    <t>TAG Begonia Blitz 50/50 Petite Portrait DO FUL</t>
  </si>
  <si>
    <t>TAG Begonia Bolivinesis 100/100 Pixie Tag</t>
  </si>
  <si>
    <t>TAG Begonia Bonny 100/100 Pixie Tag</t>
  </si>
  <si>
    <t>TAG Begonia Borias 100/100 Pixie Tag</t>
  </si>
  <si>
    <t>TAG Begonia Borias Dark 100/100 Pixie Tag</t>
  </si>
  <si>
    <t>TAG Begonia Borias Rhine 50/50 Petite Portrait DO FUL</t>
  </si>
  <si>
    <t>TAG Begonia Bossa Nova Mix 100/100 Pixie Tag SF</t>
  </si>
  <si>
    <t>TAG Begonia Bossa Nova Night Fever Papaya 100/100 Pixie Tag SF</t>
  </si>
  <si>
    <t>TAG Begonia Bossa Nova Night Fever Rosso 100/100 Pixie Tag</t>
  </si>
  <si>
    <t>TAG Begonia Bossa Nova Orange 100/100 Pixie Tag SF</t>
  </si>
  <si>
    <t>TAG Begonia Bossa Nova Pink Glow 100/100 Pixie Tag SF</t>
  </si>
  <si>
    <t>TAG Begonia Bossa Nova Pure White 100/100 Pixie Tag SF</t>
  </si>
  <si>
    <t>TAG Begonia Bossa Nova Red 100/100 Pixie Tag SF</t>
  </si>
  <si>
    <t>TAG Begonia Bossa Nova Rose 100/100 Pixie Tag SF</t>
  </si>
  <si>
    <t>TAG Begonia Bossa Nova White 100/100 Pixie Tag SF</t>
  </si>
  <si>
    <t>TAG Begonia Bossa Nova Yellow 100/100 Pixie Tag SF</t>
  </si>
  <si>
    <t>TAG Begonia Bowler Bronze Leaf White 100/100 Pixie Tag SF</t>
  </si>
  <si>
    <t>TAG Begonia Camilla 100/100 Pixie Tag</t>
  </si>
  <si>
    <t>TAG Begonia Canary Wings 100/100 Pixie Tag</t>
  </si>
  <si>
    <t>TAG Begonia Carmen 100/100 Pixie Tag</t>
  </si>
  <si>
    <t>TAG Begonia Carneval 100/100 Pixie Tag</t>
  </si>
  <si>
    <t>TAG Begonia Carneval 50/50 Petite Portrait DO FUL</t>
  </si>
  <si>
    <t>TAG Begonia Catrin 100/100 Pixie Tag</t>
  </si>
  <si>
    <t>TAG Begonia Charm Pink 100/100 Pixie Tag</t>
  </si>
  <si>
    <t>TAG Begonia Cherry Blossom 100/100 Pixie Tag</t>
  </si>
  <si>
    <t>TAG Begonia Chloe 100/100 Pixie Tag</t>
  </si>
  <si>
    <t>TAG Begonia Citizen Cane Pink 22 100/100 Pixie Tag</t>
  </si>
  <si>
    <t>TAG Begonia Clara 100/100 Pixie Tag</t>
  </si>
  <si>
    <t>TAG Begonia Clara 50/50 Petite Portrait DO FUL</t>
  </si>
  <si>
    <t>TAG Begonia Coccinea 100/100 Hang Tag</t>
  </si>
  <si>
    <t>TAG Begonia Coccinea 100/100 Pixie Tag</t>
  </si>
  <si>
    <t>TAG Begonia Cocktail Brandy 100/100 Pixie Tag</t>
  </si>
  <si>
    <t>TAG Begonia Cocktail Gin 100/100 Pixie Tag</t>
  </si>
  <si>
    <t>TAG Begonia Cocktail Mix 100/100 Pixie Tag</t>
  </si>
  <si>
    <t>TAG Begonia Cocktail Rum 100/100 Pixie Tag</t>
  </si>
  <si>
    <t>TAG Begonia Cocktail Tequila 100/100 Pixie Tag</t>
  </si>
  <si>
    <t>TAG Begonia Cocktail Vodka 100/100 Pixie Tag</t>
  </si>
  <si>
    <t>TAG Begonia Cocktail Whiskey 100/100 Pixie Tag</t>
  </si>
  <si>
    <t>TAG Begonia Cool Night Mix 100/100 Pixie Tag</t>
  </si>
  <si>
    <t>TAG Begonia Curly Series 100/100 Pixie Tag</t>
  </si>
  <si>
    <t>TAG Begonia Dark Britt 100/100 Pixie Tag</t>
  </si>
  <si>
    <t>TAG Begonia Dark Britt 50/50 Petite Portrait DO FUL</t>
  </si>
  <si>
    <t>TAG Begonia Lady Frances Pink 100/100 Pixie Tag</t>
  </si>
  <si>
    <t>TAG Begonia Dibs Rothko 100/100 Pixie Tag</t>
  </si>
  <si>
    <t>TAG Begonia Dibs Series 100/100 Pixie Tag</t>
  </si>
  <si>
    <t>TAG Begonia Doublet Pink 100/100 Pixie Tag DO</t>
  </si>
  <si>
    <t>TAG Begonia Doublet Pink 50/50 Petite Portrait DO FUL</t>
  </si>
  <si>
    <t>TAG Begonia Doublet Red 100/100 Pixie Tag</t>
  </si>
  <si>
    <t>TAG Begonia Doublet Red 50/50 Petite Portrait DO FUL</t>
  </si>
  <si>
    <t>TAG Begonia Doublet Rose 100/100 Pixie Tag</t>
  </si>
  <si>
    <t>TAG Begonia Doublet Rose 50/50 Petite Portrait DO FUL</t>
  </si>
  <si>
    <t>TAG Begonia Doublet White 100/100 Pixie Tag</t>
  </si>
  <si>
    <t>TAG Begonia Doublet White 50/50 Petite Portrait DO FUL</t>
  </si>
  <si>
    <t>TAG Begonia Dragon Wing 100/100 Pixie Tag</t>
  </si>
  <si>
    <t>TAG Begonia Dragon Wing Pink 100/100 Hang Tag</t>
  </si>
  <si>
    <t>TAG Begonia Dragon Wing Pink 100/100 Pixie Tag</t>
  </si>
  <si>
    <t>TAG Begonia Dragon Wing Pink 25/25 Portrait Tag</t>
  </si>
  <si>
    <t>TAG Begonia Dragon Wing Bronze Leaf Pink 100/100 Pixie Tag</t>
  </si>
  <si>
    <t>TAG Begonia Dragon Wing Bronze Leaf Pink 25/25 Portrait Tag</t>
  </si>
  <si>
    <t>TAG Begonia Dragon Wing Red 100/100 Hang Tag</t>
  </si>
  <si>
    <t>TAG Begonia Dragon Wing Red 100/100 Pixie Tag</t>
  </si>
  <si>
    <t>TAG Begonia Dragon Wing Red 25/25 Portrait Tag</t>
  </si>
  <si>
    <t>TAG Begonia Dragon Wing Bronze Leaf Red 100/100 Pixie Tag</t>
  </si>
  <si>
    <t>TAG Begonia Dragon Wing Bronze Leaf Red 25/25 Portrait Tag</t>
  </si>
  <si>
    <t>TAG Begonia Dragon Wing White 2022 100/100 Pixie Tag</t>
  </si>
  <si>
    <t>TAG Begonia Dragon Wing White 2022 25/25 Portrait Tag</t>
  </si>
  <si>
    <t>TAG Begonia Dragone Champagne 50/50 Petite Portrait DO FUL</t>
  </si>
  <si>
    <t>TAG Begonia Dragone Dusty Rose 50/50 Petite Portrait DO FUL</t>
  </si>
  <si>
    <t>TAG Begonia Dragone Evening Glow 50/50 Petite Portrait DO FUL</t>
  </si>
  <si>
    <t>TAG Begonia Dragone Sunset 50/50 Petite Portrait DO FUL</t>
  </si>
  <si>
    <t>TAG Begonia Dreams Garden Maca Beel 100/100 Pixie Tag</t>
  </si>
  <si>
    <t>TAG Begonia Dreams Garden Macarose 100/100 Pixie Tag</t>
  </si>
  <si>
    <t>TAG Begonia Dreams Garden Macarouge 100/100 Pixie Tag</t>
  </si>
  <si>
    <t>TAG Begonia Encore IV Series 100/100 Pixie Tag</t>
  </si>
  <si>
    <t>TAG Begonia Escargot 100/100 Pixie Tag</t>
  </si>
  <si>
    <t>TAG Begonia Esmay Peach 100/100 Pixie Tag</t>
  </si>
  <si>
    <t>TAG Begonia Eureka Bronze Leaf Deep Rose 100/100 Pixie Tag SF</t>
  </si>
  <si>
    <t>TAG Begonia Eureka Bronze Leaf Form Mix 100/100 Pixie Tag SF</t>
  </si>
  <si>
    <t>TAG Begonia Eureka Bronze Leaf Mix 100/100 Pixie Tag SF</t>
  </si>
  <si>
    <t>TAG Begonia Eureka Bronze Leaf Pink 100/100 Pixie Tag SF</t>
  </si>
  <si>
    <t>TAG Begonia Eureka Bronze Leaf Rose 100/100 Pixie Tag SF</t>
  </si>
  <si>
    <t>TAG Begonia Eureka Bronze Leaf Scarlet 100/100 Pixie Tag SF</t>
  </si>
  <si>
    <t>TAG Begonia Eureka Bronze Leaf White 100/100 Pixie Tag SF</t>
  </si>
  <si>
    <t>TAG Begonia Eureka Green Leaf Deep Rose 100/100 Pixie Tag SF</t>
  </si>
  <si>
    <t>TAG Begonia Eureka Green Leaf Formula Mix 100/100 Pixie Tag SF</t>
  </si>
  <si>
    <t>TAG Begonia Eureka Green Leaf Pink 100/100 Pixie Tag SF</t>
  </si>
  <si>
    <t>TAG Begonia Eureka Green Leaf Rose 100/100 Pixie Tag SF</t>
  </si>
  <si>
    <t>TAG Begonia Eureka Green Leaf Scarlet 100/100 Pixie Tag SF</t>
  </si>
  <si>
    <t>TAG Begonia Eureka Green Leaf White 100/100 Pixie Tag SF</t>
  </si>
  <si>
    <t>TAG Begonia Eva 100/100 Pixie Tag</t>
  </si>
  <si>
    <t>TAG Begonia Evi 100/100 Pixie Tag</t>
  </si>
  <si>
    <t>TAG Begonia Fiona Pink 100/100 Pixie Tag</t>
  </si>
  <si>
    <t>TAG Begonia Fiona Red 100/100 Pixie Tag</t>
  </si>
  <si>
    <t>TAG Begonia Fiona Rose 100/100 Pixie Tag</t>
  </si>
  <si>
    <t>TAG Begonia Fiona White 100/100 Pixie Tag</t>
  </si>
  <si>
    <t>TAG Begonia Florencio Cerise 50/50 Petite Portrait SF FUL</t>
  </si>
  <si>
    <t>TAG Begonia Florencio Orange 50/50 Petite Portrait SF FUL</t>
  </si>
  <si>
    <t>TAG Begonia Florencio Pink 50/50 Petite Portrait SF FUL</t>
  </si>
  <si>
    <t>TAG Begonia Florencio Red 50/50 Petite Portrait SF FUL</t>
  </si>
  <si>
    <t>TAG Begonia Florencio White 50/50 Petite Portrait SF FUL</t>
  </si>
  <si>
    <t>TAG Begonia Florencio Yellow 50/50 Petite Portrait SF FUL</t>
  </si>
  <si>
    <t>TAG Begonia Fortune Mix 100/100 Pixie Tag</t>
  </si>
  <si>
    <t>TAG Begonia Fragrant Falls Lemon 100/100 Pixie Tag</t>
  </si>
  <si>
    <t>TAG Begonia Fragrant Falls Peach 100/100 Pixie Tag</t>
  </si>
  <si>
    <t>TAG Begonia Frivola Magic 100/100 Pixie Tag</t>
  </si>
  <si>
    <t>TAG Begonia Frivola Pink 100/100 Pixie Tag</t>
  </si>
  <si>
    <t>TAG Begonia Funky Light Pink 100/100 Pixie Tag</t>
  </si>
  <si>
    <t>TAG Begonia Funky Mix 100/100 Pixie Tag</t>
  </si>
  <si>
    <t>TAG Begonia Funky Orange 100/100 Pixie Tag</t>
  </si>
  <si>
    <t>TAG Begonia Funky Pink 100/100 Pixie Tag</t>
  </si>
  <si>
    <t>TAG Begonia Funky Red 100/100 Pixie Tag</t>
  </si>
  <si>
    <t>TAG Begonia Funky Scarlet 100/100 Pixie Tag</t>
  </si>
  <si>
    <t>TAG Begonia Funky White 100/100 Pixie Tag</t>
  </si>
  <si>
    <t>TAG Begonia Green Leaf Bicolor GENERIC 100/100 Pixie Tag</t>
  </si>
  <si>
    <t>TAG Begonia Green Leaf Mix GENERIC 100/100 Pixie Tag</t>
  </si>
  <si>
    <t>TAG Begonia Green Leaf Pink GENERIC 100/100 Pixie Tag</t>
  </si>
  <si>
    <t>TAG Begonia Green Leaf Red GENERIC 100/100 Pixie Tag</t>
  </si>
  <si>
    <t>TAG Begonia Green Leaf Rose GENERIC 100/100 Pixie Tag</t>
  </si>
  <si>
    <t>TAG Begonia Green Leaf White GENERIC 100/100 Pixie Tag</t>
  </si>
  <si>
    <t>TAG Begonia Glory Bicolour 100/100 Pixie Tag</t>
  </si>
  <si>
    <t>TAG Begonia Glory Pink 100/100 Pixie Tag</t>
  </si>
  <si>
    <t>TAG Begonia Glory White 100/100 Pixie Tag</t>
  </si>
  <si>
    <t>TAG Begonia GENERIC 100/100 Hang Tag</t>
  </si>
  <si>
    <t>TAG Begonia GENERIC 100/100 Pixie Tag</t>
  </si>
  <si>
    <t>TAG Begonia Bilingual GENERIC 100/100 Pixie Tag</t>
  </si>
  <si>
    <t>TAG Begonia Grace Dark Red 50/50 Petite Portrait SF FUL</t>
  </si>
  <si>
    <t>TAG Begonia Grace Orange 50/50 Petite Portrait SF FUL</t>
  </si>
  <si>
    <t>TAG Begonia Grace Pink 50/50 Petite Portrait SF FUL</t>
  </si>
  <si>
    <t>TAG Begonia Groovy Mellow Yellow 100/100 Pixie Tag</t>
  </si>
  <si>
    <t>TAG Begonia Groovy Mix 100/100 Pixie Tag</t>
  </si>
  <si>
    <t>TAG Begonia Groovy Orange 100/100 Pixie Tag</t>
  </si>
  <si>
    <t>TAG Begonia Groovy Red 100/100 Pixie Tag</t>
  </si>
  <si>
    <t>TAG Begonia Groovy Rose 100/100 Pixie Tag</t>
  </si>
  <si>
    <t>TAG Begonia Groovy White 100/100 Pixie Tag</t>
  </si>
  <si>
    <t>TAG Begonia Gryphon 100/100 Pixie Tag</t>
  </si>
  <si>
    <t>TAG Begonia Harmony Mix 100/100 Pixie Tag</t>
  </si>
  <si>
    <t>TAG Begonia Harmony Pink 100/100 Pixie Tag</t>
  </si>
  <si>
    <t>TAG Begonia Harmony Rose 100/100 Pixie Tag</t>
  </si>
  <si>
    <t>TAG Begonia Harmony Scarlet 100/100 Pixie Tag</t>
  </si>
  <si>
    <t>TAG Begonia Harmony White 100/100 Pixie Tag</t>
  </si>
  <si>
    <t>TAG Begonia Hiemalis 100/100 Hang Tag</t>
  </si>
  <si>
    <t>TAG Begonia Hiemalis 100/100 Pixie Tag</t>
  </si>
  <si>
    <t>TAG Begonia Hula Blush 22 100/100 Pixie Tag</t>
  </si>
  <si>
    <t>TAG Begonia Hula Pink 22 100/100 Pixie Tag</t>
  </si>
  <si>
    <t>TAG Begonia Hula Red 2022 100/100 Pixie Tag</t>
  </si>
  <si>
    <t>TAG Begonia Hula Bicolor Red White 2022 100/100 Pixie Tag</t>
  </si>
  <si>
    <t>TAG Begonia Hula Red And White Mix 100/100 Pixie Tag</t>
  </si>
  <si>
    <t>TAG Begonia Hula Green Leaf White 100/100 Pixie Tag</t>
  </si>
  <si>
    <t>TAG Begonia I'Conia Bachelorette Red 50/50 Petite Portrait DO FUL</t>
  </si>
  <si>
    <t>TAG Begonia I'Conia Bacio Orange 50/50 Petite Portrait DO FUL</t>
  </si>
  <si>
    <t>TAG Begonia I'Conia Bacio Peach 50/50 Petite Portrait DO FUL</t>
  </si>
  <si>
    <t>TAG Begonia I'Conia Bacio Salmon 50/50 Petite Portrait DO FUL</t>
  </si>
  <si>
    <t>TAG Begonia I'Conia Bacio White 50/50 Petite Portrait DO FUL</t>
  </si>
  <si>
    <t>TAG Begonia I'Conia First Kiss 50/50 Petite Portrait DO FUL</t>
  </si>
  <si>
    <t>TAG Begonia I'Conia First Kiss Del Sol 50/50 Petite Portrait DO FUL</t>
  </si>
  <si>
    <t>TAG Begonia I'Conia First Kiss Orange 50/50 Petite Portrait DO FUL</t>
  </si>
  <si>
    <t>TAG Begonia I'Conia La Luna 50/50 Petite Portrait DO FUL</t>
  </si>
  <si>
    <t>TAG Begonia I'Conia Lemon Berry 50/50 Petite Portrait DO FUL</t>
  </si>
  <si>
    <t>TAG Begonia I'Conia Lucky Strike 50/50 Petite Portrait DO FUL</t>
  </si>
  <si>
    <t>TAG Begonia I'Conia Miss Malibu 50/50 Petite Portrait DO FUL</t>
  </si>
  <si>
    <t>TAG Begonia I'Conia Miss Miami 50/50 Petite Portrait DO FUL</t>
  </si>
  <si>
    <t>TAG Begonia I'Conia Miss Montreal 50/50 Petite Portrait DO FUL</t>
  </si>
  <si>
    <t>TAG Begonia I'Conia Peachy Keen 50/50 Petite Portrait DO FUL</t>
  </si>
  <si>
    <t>TAG Begonia I'Conia Portofino Champagne 50/50 Petite Portrait DO FUL</t>
  </si>
  <si>
    <t>TAG Begonia I'Conia Portofino Citrix 50/50 Petite Portrait DO FUL</t>
  </si>
  <si>
    <t>TAG Begonia I'Conia Portofino Dark Orange 50/50 Petite Portrait DO FUL</t>
  </si>
  <si>
    <t>TAG Begonia I'Conia Portofino Hot Coral 50/50 Petite Portrait DO FUL</t>
  </si>
  <si>
    <t>TAG Begonia I'Conia Portofino Hot Orange 50/50 Petite Portrait DO FUL</t>
  </si>
  <si>
    <t>TAG Begonia I'Conia Portofino Salmon 50/50 Petite Portrait DO FUL</t>
  </si>
  <si>
    <t>TAG Begonia I'Conia Portofino Sunrise 50/50 Petite Portrait DO FUL</t>
  </si>
  <si>
    <t>TAG Begonia I'Conia Portofino Yellow 50/50 Petite Portrait DO FUL</t>
  </si>
  <si>
    <t>TAG Begonia I'Conia Red 50/50 Petite Portrait DO FUL</t>
  </si>
  <si>
    <t>TAG Begonia I'Conia Saffron 50/50 Petite Portrait DO FUL</t>
  </si>
  <si>
    <t>TAG Begonia I'Conia Tweetie Pie 50/50 Petite Portrait DO FUL</t>
  </si>
  <si>
    <t>TAG Begonia I'Conia Upright Blush 50/50 Petite Portrait DO FUL</t>
  </si>
  <si>
    <t>TAG Begonia I'Conia Upright Fire 50/50 Petite Portrait DO FUL</t>
  </si>
  <si>
    <t>TAG Begonia I'Conia Upright Red 50/50 Petite Portrait DO FUL</t>
  </si>
  <si>
    <t>TAG Begonia I'Conia Upright Salmon 50/50 Petite Portrait DO FUL</t>
  </si>
  <si>
    <t>TAG Begonia I'Conia Upright Sunshine 50/50 Petite Portrait DO FUL</t>
  </si>
  <si>
    <t>TAG Begonia I'Conia Upright White 50/50 Petite Portrait DO FUL</t>
  </si>
  <si>
    <t>TAG Begonia Illumination Apricot 100/100 Pixie Tag</t>
  </si>
  <si>
    <t>TAG Begonia Illumination Golden Picotee 100/100 Pixie Tag</t>
  </si>
  <si>
    <t>TAG Begonia Illumination Lemon 100/100 Pixie Tag</t>
  </si>
  <si>
    <t>TAG Begonia Illumination Orange 100/100 Pixie Tag</t>
  </si>
  <si>
    <t>TAG Begonia Illumination Rose 100/100 Pixie Tag</t>
  </si>
  <si>
    <t>TAG Begonia Illumination Scarlet 100/100 Pixie Tag</t>
  </si>
  <si>
    <t>TAG Begonia Illumination Salmon Pink 100/100 Pixie Tag</t>
  </si>
  <si>
    <t>TAG Begonia Illumination White 100/100 Pixie Tag</t>
  </si>
  <si>
    <t>TAG Begonia Karen 100/100 Pixie Tag</t>
  </si>
  <si>
    <t>TAG Begonia Lady Carol 100/100 Pixie Tag</t>
  </si>
  <si>
    <t>TAG Begonia Limitless Cream Shades 100/100 Pixie Tag</t>
  </si>
  <si>
    <t>TAG Begonia Limitless Dark Red 100/100 Pixie Tag</t>
  </si>
  <si>
    <t>TAG Begonia Limitless Dark Rose 100/100 Pixie Tag</t>
  </si>
  <si>
    <t>TAG Begonia Limitless Mix 100/100 Pixie Tag</t>
  </si>
  <si>
    <t>TAG Begonia Limitless Orange 100/100 Pixie Tag</t>
  </si>
  <si>
    <t>TAG Begonia Limitless Green Leaf Salmon Shades 100/100 Pixie Tag</t>
  </si>
  <si>
    <t>TAG Begonia Limitless Sorbet 100/100 Pixie Tag</t>
  </si>
  <si>
    <t>TAG Begonia Limitless Sunrise 100/100 Pixie Tag</t>
  </si>
  <si>
    <t>TAG Begonia Limitless Sunset 100/100 Pixie Tag</t>
  </si>
  <si>
    <t>TAG Begonia Limitless Yellow 100/100 Pixie Tag</t>
  </si>
  <si>
    <t>TAG Begonia Maestro Mix 100/100 Pixie Tag</t>
  </si>
  <si>
    <t>TAG Begonia Megawatt Bronze Leaf Pink 100/100 Pixie Tag</t>
  </si>
  <si>
    <t>TAG Begonia Megawatt Bronze Leaf Red 100/100 Pixie Tag</t>
  </si>
  <si>
    <t>TAG Begonia Megawatt Bronze Leaf Rose 100/100 Pixie Tag</t>
  </si>
  <si>
    <t>TAG Begonia Megawatt Green Leaf Pink 100/100 Pixie Tag</t>
  </si>
  <si>
    <t>TAG Begonia Megawatt Green Leaf Red 100/100 Pixie Tag</t>
  </si>
  <si>
    <t>TAG Begonia Megawatt Green Leaf Rose 100/100 Pixie Tag</t>
  </si>
  <si>
    <t>TAG Begonia Megawatt Green Leaf White 22 100/100 Pixie Tag</t>
  </si>
  <si>
    <t>TAG Begonia Move2 Cherry Red 50/50 Petite Portrait DO FUL</t>
  </si>
  <si>
    <t>TAG Begonia Move2 Joy Hot Pink Elat 50/50 Petite Portrait DO FUL</t>
  </si>
  <si>
    <t>TAG Begonia Move2 Joy Pink 50/50 Petite Portrait DO FUL</t>
  </si>
  <si>
    <t>TAG Begonia Move2 Joy Salmon Elat 50/50 Petite Portrait DO FUL</t>
  </si>
  <si>
    <t>TAG Begonia Move2 Joy White 50/50 Petite Portrait DO FUL</t>
  </si>
  <si>
    <t>TAG Begonia Move2 Orange 50/50 Petite Portrait DO FUL</t>
  </si>
  <si>
    <t>TAG Begonia Move2 Passion Red 50/50 Petite Portrait DO FUL</t>
  </si>
  <si>
    <t>TAG Begonia Move2 Ruby Red 50/50 Petite Portrait DO FUL</t>
  </si>
  <si>
    <t>TAG Begonia Move2 Salmon Spl Bicolor Elat 50/50 Petite Portrait DO FUL</t>
  </si>
  <si>
    <t>TAG Begonia Nadine 100/100 Pixie Tag</t>
  </si>
  <si>
    <t>TAG Begonia Nadine Rhine 50/50 Petite Portrait DO FUL</t>
  </si>
  <si>
    <t>TAG Begonia Nelly 100/100 Pixie Tag</t>
  </si>
  <si>
    <t>TAG Begonia Netja Dark 100/100 Pixie Tag</t>
  </si>
  <si>
    <t>TAG Begonia Netja Dark 50/50 Petite Portrait DO FUL</t>
  </si>
  <si>
    <t>TAG Begonia Netja White 100/100 Pixie Tag</t>
  </si>
  <si>
    <t>TAG Begonia New Star Mix 100/100 Pixie Tag</t>
  </si>
  <si>
    <t>TAG Begonia New Star Red 100/100 Pixie Tag</t>
  </si>
  <si>
    <t>TAG Begonia New Star White 100/100 Pixie Tag</t>
  </si>
  <si>
    <t>TAG Begonia New Star Yellow 100/100 Pixie Tag</t>
  </si>
  <si>
    <t>TAG Begonia Nicole Stone 100/100 Pixie Tag</t>
  </si>
  <si>
    <t>TAG Begonia Nightlife Blush 100/100 Pixie Tag</t>
  </si>
  <si>
    <t>TAG Begonia Nightlife Deep Rose 100/100 Pixie Tag</t>
  </si>
  <si>
    <t>TAG Begonia Nightlife Mix 100/100 Pixie Tag</t>
  </si>
  <si>
    <t>TAG Begonia Nightlife Pink 100/100 Pixie Tag</t>
  </si>
  <si>
    <t>TAG Begonia Nightlife Red 100/100 Pixie Tag</t>
  </si>
  <si>
    <t>TAG Begonia Nightlife Rose 100/100 Pixie Tag</t>
  </si>
  <si>
    <t>TAG Begonia Nightlife White 100/100 Pixie Tag</t>
  </si>
  <si>
    <t>TAG Begonia Nonstop Apple Blossom 100/100 Pixie Tag</t>
  </si>
  <si>
    <t>TAG Begonia Nonstop Bright Red 100/100 Pixie Tag</t>
  </si>
  <si>
    <t>TAG Begonia Nonstop Deep Red 100/100 Pixie Tag</t>
  </si>
  <si>
    <t>TAG Begonia Nonstop Deep Rose 100/100 Pixie Tag</t>
  </si>
  <si>
    <t>TAG Begonia Nonstop Deep Salmon 100/100 Pixie Tag</t>
  </si>
  <si>
    <t>TAG Begonia Nonstop Fire 100/100 Pixie Tag</t>
  </si>
  <si>
    <t>TAG Begonia Nonstop Green Leaf Flame 100/100 Pixie Tag</t>
  </si>
  <si>
    <t>TAG Begonia Nonstop Joy Mix 100/100 Pixie Tag</t>
  </si>
  <si>
    <t>TAG Begonia Nonstop Joy Mocca Peaches And Dreams 100/100 Pixie Tag</t>
  </si>
  <si>
    <t>TAG Begonia Nonstop Joy Bronze Leaf Mocca Rose 100/100 Pixie Tag</t>
  </si>
  <si>
    <t>TAG Begonia Nonstop Joy Mocca White 100/100 Pixie Tag</t>
  </si>
  <si>
    <t>TAG Begonia Nonstop Joy Orange 100/100 Pixie Tag</t>
  </si>
  <si>
    <t>TAG Begonia Nonstop Joy Red 100/100 Pixie Tag</t>
  </si>
  <si>
    <t>TAG Begonia Nonstop Joy Rose Picotee 100/100 Pixie Tag</t>
  </si>
  <si>
    <t>TAG Begonia Nonstop Joy Yellow 100/100 Pixie Tag</t>
  </si>
  <si>
    <t>TAG Begonia Nonstop Green Leaf Lemon 100/100 Pixie Tag</t>
  </si>
  <si>
    <t>TAG Begonia Nonstop Mix 100/100 Pixie Tag</t>
  </si>
  <si>
    <t>TAG Begonia Nonstop Mocca Bright Orange 100/100 Pixie Tag</t>
  </si>
  <si>
    <t>TAG Begonia Nonstop Mocca Cherry 100/100 Pixie Tag</t>
  </si>
  <si>
    <t>TAG Begonia Nonstop Mocca Deep Orange 100/100 Pixie Tag</t>
  </si>
  <si>
    <t>TAG Begonia Nonstop Mocca Deep Red 100/100 Pixie Tag</t>
  </si>
  <si>
    <t>TAG Begonia Nonstop Mocca Light Pink Shd 100/100 Pixie Tag</t>
  </si>
  <si>
    <t>TAG Begonia Nonstop Mocca Mix 100/100 Pixie Tag</t>
  </si>
  <si>
    <t>TAG Begonia Nonstop Mocca Orange 100/100 Pixie Tag</t>
  </si>
  <si>
    <t>TAG Begonia Nonstop Mocca Pink Shades 100/100 Pixie Tag</t>
  </si>
  <si>
    <t>TAG Begonia Nonstop Mocca Red 100/100 Pixie Tag</t>
  </si>
  <si>
    <t>TAG Begonia Nonstop Mocca Scarlet 100/100 Pixie Tag</t>
  </si>
  <si>
    <t>TAG Begonia Nonstop Mocca White 100/100 Pixie Tag</t>
  </si>
  <si>
    <t>TAG Begonia Nonstop Mocca Yellow 100/100 Pixie Tag</t>
  </si>
  <si>
    <t>TAG Begonia Nonstop Orange 100/100 Pixie Tag</t>
  </si>
  <si>
    <t>TAG Begonia Nonstop Green Leaf Peach Shades 100/100 Pixie Tag</t>
  </si>
  <si>
    <t>TAG Begonia Nonstop Pink 100/100 Pixie Tag</t>
  </si>
  <si>
    <t>TAG Begonia Nonstop Red 100/100 Pixie Tag</t>
  </si>
  <si>
    <t>TAG Begonia Nonstop Rose Petticoat 100/100 Pixie Tag</t>
  </si>
  <si>
    <t>TAG Begonia Nonstop Rose Picotee 100/100 Pixie Tag</t>
  </si>
  <si>
    <t>TAG Begonia Nonstop Rose Pink 100/100 Pixie Tag</t>
  </si>
  <si>
    <t>TAG Begonia Nonstop Salmon 100/100 Pixie Tag</t>
  </si>
  <si>
    <t>TAG Begonia Nonstop Series 100/100 Hang Tag</t>
  </si>
  <si>
    <t>TAG Begonia Nonstop Series 100/100 Pixie Tag</t>
  </si>
  <si>
    <t>TAG Begonia Nonstop Sunset 100/100 Pixie Tag</t>
  </si>
  <si>
    <t>TAG Begonia Nonstop White 100/100 Pixie Tag</t>
  </si>
  <si>
    <t>TAG Begonia Nonstop Yellow 100/100 Pixie Tag</t>
  </si>
  <si>
    <t>TAG Begonia Nonstop Yellow With Red Back 100/100 Pixie Tag</t>
  </si>
  <si>
    <t>TAG Begonia Oh So Orange 100/100 Pixie Tag DO</t>
  </si>
  <si>
    <t>TAG Begonia Oh So Orange 50/50 Petite Portrait DO FUL</t>
  </si>
  <si>
    <t>TAG Begonia On Top Fandango 100/100 Pixie Tag</t>
  </si>
  <si>
    <t>TAG Begonia On Top Melon Lace 100/100 Pixie Tag</t>
  </si>
  <si>
    <t>TAG Begonia On Top Pink Halo 100/100 Pixie Tag</t>
  </si>
  <si>
    <t>TAG Begonia On Top Polka Dot 100/100 Pixie Tag</t>
  </si>
  <si>
    <t>TAG Begonia On Top Sun Glow 100/100 Pixie Tag</t>
  </si>
  <si>
    <t>TAG Begonia On Top Sunset Shades 100/100 Pixie Tag</t>
  </si>
  <si>
    <t>TAG Begonia On Top Surprise 100/100 Pixie Tag</t>
  </si>
  <si>
    <t>TAG Begonia Orange Stone 100/100 Pixie Tag</t>
  </si>
  <si>
    <t>TAG Begonia Peggy 100/100 Pixie Tag</t>
  </si>
  <si>
    <t>TAG Begonia Pendula GENERIC 100/100 Pixie Tag</t>
  </si>
  <si>
    <t>TAG Begonia Picotee Calypso 100/100 Pixie Tag</t>
  </si>
  <si>
    <t>TAG Begonia Picotee Lace Apricot 100/100 Pixie Tag</t>
  </si>
  <si>
    <t>TAG Begonia Picotee Lace Pink 100/100 Pixie Tag</t>
  </si>
  <si>
    <t>TAG Begonia Picotee Lace Red 100/100 Pixie Tag</t>
  </si>
  <si>
    <t>TAG Begonia Picotee Sunburst 100/100 Pixie Tag</t>
  </si>
  <si>
    <t>TAG Begonia Picotee White Pink 100/100 Pixie Tag</t>
  </si>
  <si>
    <t>TAG Begonia Pink GENERIC 100/100 Pixie Tag</t>
  </si>
  <si>
    <t>TAG Begonia Pink Bilingual GENERIC 100/100 Pixie Tag</t>
  </si>
  <si>
    <t>TAG Begonia Prelude Mix 100/100 Pixie Tag</t>
  </si>
  <si>
    <t>TAG Begonia Prelude Pink 100/100 Pixie Tag</t>
  </si>
  <si>
    <t>TAG Begonia Prelude Rose 100/100 Pixie Tag</t>
  </si>
  <si>
    <t>TAG Begonia Prelude Scarlet 100/100 Pixie Tag</t>
  </si>
  <si>
    <t>TAG Begonia Prelude White 100/100 Pixie Tag</t>
  </si>
  <si>
    <t>TAG Begonia Red GENERIC 100/100 Pixie Tag</t>
  </si>
  <si>
    <t>TAG Begonia Red Bilingual GENERIC 100/100 Pixie Tag</t>
  </si>
  <si>
    <t>TAG Begonia Rebecca 100/100 Pixie Tag</t>
  </si>
  <si>
    <t>TAG Begonia Reina XL 100/100 Pixie Tag</t>
  </si>
  <si>
    <t>TAG Begonia Renate 100/100 Pixie Tag</t>
  </si>
  <si>
    <t>TAG Begonia Revita 100/100 Pixie Tag</t>
  </si>
  <si>
    <t>TAG Begonia Rex 100/100 Pixie Tag</t>
  </si>
  <si>
    <t>TAG Begonia Rhodee Pink 100/100 Pixie Tag</t>
  </si>
  <si>
    <t>TAG Begonia Richmondensis 100/100 Pixie Tag</t>
  </si>
  <si>
    <t>TAG Begonia Rise Up Aloha Gold 100/100 Pixie Tag</t>
  </si>
  <si>
    <t>TAG Begonia Rise Up Aloha Gold 50/50 Petite Portrait DO FUL</t>
  </si>
  <si>
    <t>TAG Begonia Rise Up Series 100/100 Pixie Tag</t>
  </si>
  <si>
    <t>TAG Begonia Rolinde 100/100 Pixie Tag</t>
  </si>
  <si>
    <t>TAG Begonia Romance 100/100 Pixie Tag</t>
  </si>
  <si>
    <t>TAG Begonia Roseform Rose 100/100 Pixie Tag</t>
  </si>
  <si>
    <t>TAG Begonia Roseform White 100/100 Pixie Tag</t>
  </si>
  <si>
    <t>TAG Begonia Ruffled Apricot 100/100 Pixie Tag</t>
  </si>
  <si>
    <t>TAG Begonia Ruffled Coral Salmon 100/100 Pixie Tag</t>
  </si>
  <si>
    <t>TAG Begonia Ruffled Pink 100/100 Pixie Tag</t>
  </si>
  <si>
    <t>TAG Begonia Ruffled Scarlet Red 100/100 Pixie Tag</t>
  </si>
  <si>
    <t>TAG Begonia Ruffled Yellow 100/100 Pixie Tag</t>
  </si>
  <si>
    <t>TAG Begonia Salmon GENERIC 100/100 Pixie Tag</t>
  </si>
  <si>
    <t>TAG Begonia San Francisco 100/100 Pixie Tag</t>
  </si>
  <si>
    <t>TAG Begonia Sandrine 100/100 Pixie Tag</t>
  </si>
  <si>
    <t>TAG Begonia Santa Barbara 100/100 Pixie Tag</t>
  </si>
  <si>
    <t>TAG Begonia Santa Cruz Sunset 100/100 Pixie Tag</t>
  </si>
  <si>
    <t>TAG Begonia Scentiment Just Peachy 50/50 Petite Portrait DO FUL</t>
  </si>
  <si>
    <t>TAG Begonia Scentiment Sunrise 50/50 Petite Portrait DO FUL</t>
  </si>
  <si>
    <t>TAG Begonia Senator Deep Rose 100/100 Pixie Tag</t>
  </si>
  <si>
    <t>TAG Begonia Senator IQ Deep Rose 100/100 Pixie Tag</t>
  </si>
  <si>
    <t>TAG Begonia Senator IQ Mix 100/100 Pixie Tag</t>
  </si>
  <si>
    <t>TAG Begonia Senator IQ Pink 100/100 Pixie Tag</t>
  </si>
  <si>
    <t>TAG Begonia Senator IQ Rose 100/100 Pixie Tag</t>
  </si>
  <si>
    <t>TAG Begonia Senator IQ Rose Bicolor 100/100 Pixie Tag</t>
  </si>
  <si>
    <t>TAG Begonia Senator IQ Scarlet 100/100 Pixie Tag</t>
  </si>
  <si>
    <t>TAG Begonia Senator IQ White 100/100 Pixie Tag</t>
  </si>
  <si>
    <t>TAG Begonia Senator Mix 100/100 Pixie Tag</t>
  </si>
  <si>
    <t>TAG Begonia Senator Pink 100/100 Pixie Tag</t>
  </si>
  <si>
    <t>TAG Begonia Senator Rose 100/100 Pixie Tag</t>
  </si>
  <si>
    <t>TAG Begonia Senator Scarlet 100/100 Pixie Tag</t>
  </si>
  <si>
    <t>TAG Begonia Senator White 100/100 Pixie Tag</t>
  </si>
  <si>
    <t>TAG Begonia Shadow King Series 100/100 Pixie Tag</t>
  </si>
  <si>
    <t>TAG Begonia Solenia Apricot 50/50 Petite Portrait DO FUL</t>
  </si>
  <si>
    <t>TAG Begonia Solenia Cherry 50/50 Petite Portrait DO FUL</t>
  </si>
  <si>
    <t>TAG Begonia Solenia Chocolate Orange 100/100 Pixie Tag</t>
  </si>
  <si>
    <t>TAG Begonia Solenia Dark Pink 50/50 Petite Portrait DO FUL</t>
  </si>
  <si>
    <t>TAG Begonia Solenia Deep Orange 50/50 Petite Portrait DO FUL</t>
  </si>
  <si>
    <t>TAG Begonia Solenia Dusty Rose 50/50 Petite Portrait DO FUL</t>
  </si>
  <si>
    <t>TAG Begonia Solenia Light Pink 50/50 Petite Portrait DO FUL</t>
  </si>
  <si>
    <t>TAG Begonia Solenia Light Yellow 50/50 Petite Portrait DO FUL</t>
  </si>
  <si>
    <t>TAG Begonia Solenia Orange 50/50 Petite Portrait DO FUL</t>
  </si>
  <si>
    <t>TAG Begonia Solenia Red Orange 100/100 Pixie Tag</t>
  </si>
  <si>
    <t>TAG Begonia Solenia Red 50/50 Petite Portrait DO FUL</t>
  </si>
  <si>
    <t>TAG Begonia Solenia Red Orange 50/50 Petite Portrait DO FUL</t>
  </si>
  <si>
    <t>TAG Begonia Solenia Red Velvet 50/50 Petite Portrait DO FUL</t>
  </si>
  <si>
    <t>TAG Begonia Solenia Salmon Coral 50/50 Petite Portrait DO FUL</t>
  </si>
  <si>
    <t>TAG Begonia Solenia Scarlet 100/100 Pixie Tag</t>
  </si>
  <si>
    <t>TAG Begonia Solenia Yellow 100/100 Pixie Tag</t>
  </si>
  <si>
    <t>TAG Begonia Sprint Mix 100/100 Pixie Tag</t>
  </si>
  <si>
    <t>TAG Begonia Sprint Plus Lipstick 100/100 Pixie Tag</t>
  </si>
  <si>
    <t>TAG Begonia Sprint Plus Mix 100/100 Pixie Tag</t>
  </si>
  <si>
    <t>TAG Begonia Sprint Plus Orange 100/100 Pixie Tag</t>
  </si>
  <si>
    <t>TAG Begonia Sprint Plus Pink 100/100 Pixie Tag</t>
  </si>
  <si>
    <t>TAG Begonia Sprint Plus Red 100/100 Pixie Tag</t>
  </si>
  <si>
    <t>TAG Begonia Sprint Plus Rose 100/100 Pixie Tag</t>
  </si>
  <si>
    <t>TAG Begonia Sprint Plus White 100/100 Pixie Tag</t>
  </si>
  <si>
    <t>TAG Begonia Stonehedge Bronze Leaf Light Pink 100/100 Pixie Tag</t>
  </si>
  <si>
    <t>TAG Begonia Stonehedge Bronze Leaf Rose 100/100 Pixie Tag</t>
  </si>
  <si>
    <t>TAG Begonia Summerwings Series 100/100 Pixie Tag</t>
  </si>
  <si>
    <t>TAG Begonia Sun Cities Mix 100/100 Pixie Tag</t>
  </si>
  <si>
    <t>TAG Begonia Sun Dancer Apricot 100/100 Pixie Tag</t>
  </si>
  <si>
    <t>TAG Begonia Sun Dancer Pink 100/100 Pixie Tag</t>
  </si>
  <si>
    <t>TAG Begonia Sun Dancer Red 100/100 Pixie Tag</t>
  </si>
  <si>
    <t>TAG Begonia Sun Dancer Salmon 100/100 Pixie Tag</t>
  </si>
  <si>
    <t>TAG Begonia Sun Dancer Scarlet Orange 100/100 Pixie Tag</t>
  </si>
  <si>
    <t>TAG Begonia Sun Dancer White Pink Picotee 100/100 Pixie Tag</t>
  </si>
  <si>
    <t>TAG Begonia Sun Dancer Yellow 100/100 Pixie Tag</t>
  </si>
  <si>
    <t>TAG Begonia Sun Dancer Yellow Red Picotee 100/100 Pixie Tag</t>
  </si>
  <si>
    <t>TAG Begonia Super Cool Blush Bicolor 100/100 Pixie Tag</t>
  </si>
  <si>
    <t>TAG Begonia Super Cool Lipstick 100/100 Pixie Tag</t>
  </si>
  <si>
    <t>TAG Begonia Super Cool Mix 100/100 Pixie Tag</t>
  </si>
  <si>
    <t>TAG Begonia Super Cool Pink 100/100 Pixie Tag</t>
  </si>
  <si>
    <t>TAG Begonia Super Cool Red 100/100 Pixie Tag</t>
  </si>
  <si>
    <t>TAG Begonia Super Cool White 100/100 Pixie Tag</t>
  </si>
  <si>
    <t>TAG Begonia Super Olympia Bicolor 100/100 Pixie Tag</t>
  </si>
  <si>
    <t>TAG Begonia Super Olympia Mix 100/100 Pixie Tag</t>
  </si>
  <si>
    <t>TAG Begonia Super Olympia Pink 100/100 Pixie Tag</t>
  </si>
  <si>
    <t>TAG Begonia Super Olympia Red 100/100 Pixie Tag</t>
  </si>
  <si>
    <t>TAG Begonia Super Olympia Rose 100/100 Pixie Tag</t>
  </si>
  <si>
    <t>TAG Begonia Super Olympia White 100/100 Pixie Tag</t>
  </si>
  <si>
    <t>TAG Begonia Sweetheart Mix 100/100 Pixie Tag</t>
  </si>
  <si>
    <t>TAG Begonia Sweetheart Red 100/100 Pixie Tag</t>
  </si>
  <si>
    <t>TAG Begonia Sweetheart Rose 100/100 Pixie Tag</t>
  </si>
  <si>
    <t>TAG Begonia Sweetheart White 100/100 Pixie Tag</t>
  </si>
  <si>
    <t>TAG Begonia Tophat Rose Bicolor With Green Leaf 100/100 Pixie Tag SF</t>
  </si>
  <si>
    <t>TAG Begonia Tophat Pink 100/100 Pixie Tag SF</t>
  </si>
  <si>
    <t>TAG Begonia Tophat Scarlet 100/100 Pixie Tag SF</t>
  </si>
  <si>
    <t>TAG Begonia Tophat White 100/100 Pixie Tag SF</t>
  </si>
  <si>
    <t>TAG Begonia Topspin Mix 100/100 Pixie Tag SF</t>
  </si>
  <si>
    <t>TAG Begonia Topspin Pink 100/100 Pixie Tag SF</t>
  </si>
  <si>
    <t>TAG Begonia Topspin Rose 100/100 Pixie Tag SF</t>
  </si>
  <si>
    <t>TAG Begonia Topspin Scarlet 100/100 Pixie Tag SF</t>
  </si>
  <si>
    <t>TAG Begonia Topspin White 100/100 Pixie Tag SF</t>
  </si>
  <si>
    <t>TAG Begonia Beaugonia Series 100/100 Pixie Tag</t>
  </si>
  <si>
    <t>TAG Begonia Unbelievable Miss Montreal 50/50 Petite Portrait DO FUL</t>
  </si>
  <si>
    <t>TAG Begonia Unbelievable Red 50/50 Petite Portrait DO FUL</t>
  </si>
  <si>
    <t>TAG Begonia Unstoppable Upright Fire 50/50 Petite Portrait DO FUL</t>
  </si>
  <si>
    <t>TAG Begonia Valentine Mix 100/100 Pixie Tag</t>
  </si>
  <si>
    <t>TAG Begonia Valentine Pink Candy 100/100 Pixie Tag</t>
  </si>
  <si>
    <t>TAG Begonia Valentine Red Hearts 100/100 Pixie Tag</t>
  </si>
  <si>
    <t>TAG Begonia Valentine Red Rhine 50/50 Petite Portrait DO FUL</t>
  </si>
  <si>
    <t>TAG Begonia Valentine Rose 100/100 Pixie Tag</t>
  </si>
  <si>
    <t>TAG Begonia Valentine White Lace 100/100 Pixie Tag</t>
  </si>
  <si>
    <t>TAG Begonia Valentino Pink 100/100 Pixie Tag</t>
  </si>
  <si>
    <t>TAG Begonia Valentino White 100/100 Pixie Tag</t>
  </si>
  <si>
    <t>TAG Begonia Vermillion Hot Pink 100/100 Pixie Tag</t>
  </si>
  <si>
    <t>TAG Begonia Vermillion Red 100/100 Pixie Tag</t>
  </si>
  <si>
    <t>TAG Begonia Veronica 100/100 Pixie Tag</t>
  </si>
  <si>
    <t>TAG Begonia Veronica Rhine 50/50 Petite Portrait DO FUL</t>
  </si>
  <si>
    <t>TAG Begonia Viking Coral Flame On Brnz 100/100 Pixie Tag</t>
  </si>
  <si>
    <t>TAG Begonia Viking Coral Flame On Green 100/100 Pixie Tag</t>
  </si>
  <si>
    <t>TAG Begonia Viking Exlporer Red On Green 100/100 Pixie Tag</t>
  </si>
  <si>
    <t>TAG Begonia Viking Pink On Chocolate 100/100 Pixie Tag</t>
  </si>
  <si>
    <t>TAG Begonia Viking Pink On Green 100/100 Pixie Tag</t>
  </si>
  <si>
    <t>TAG Begonia Viking Red On Bronze 100/100 Pixie Tag</t>
  </si>
  <si>
    <t>TAG Begonia Viking Red On Chocolate 100/100 Pixie Tag</t>
  </si>
  <si>
    <t>TAG Begonia Viking Red On Green 100/100 Pixie Tag</t>
  </si>
  <si>
    <t>TAG Begonia Viking Rose On Bronze 100/100 Pixie Tag</t>
  </si>
  <si>
    <t>TAG Begonia Viking Rose On Green 100/100 Pixie Tag</t>
  </si>
  <si>
    <t>TAG Begonia Viking White On Green Leaf 100/100 Pixie Tag</t>
  </si>
  <si>
    <t>TAG Begonia Viking XL Pink On Green 100/100 Pixie Tag</t>
  </si>
  <si>
    <t>TAG Begonia Viking XL Red On Chocolate 100/100 Pixie Tag</t>
  </si>
  <si>
    <t>TAG Begonia Viking XL Red On Green 100/100 Pixie Tag</t>
  </si>
  <si>
    <t>TAG Begonia Viking XL Rose On Green 100/100 Pixie Tag</t>
  </si>
  <si>
    <t>TAG Begonia Volumia Pink 100/100 Pixie Tag SF</t>
  </si>
  <si>
    <t>TAG Begonia Volumia Rose Bicolor 100/100 Pixie Tag SF</t>
  </si>
  <si>
    <t>TAG Begonia Volumia Scarlet 100/100 Pixie Tag SF</t>
  </si>
  <si>
    <t>TAG Begonia Volumia White 100/100 Pixie Tag SF</t>
  </si>
  <si>
    <t>TAG Begonia Waterfalls Angel Soft Orange 100/100 Pixie Tag</t>
  </si>
  <si>
    <t>TAG Begonia Waterfalls Angel Soft Pink 100/100 Pixie Tag</t>
  </si>
  <si>
    <t>TAG Begonia Waterfalls Been 100/100 Pixie Tag</t>
  </si>
  <si>
    <t>TAG Begonia Waterfalls Bicolor 22 100/100 Pixie Tag</t>
  </si>
  <si>
    <t>TAG Begonia Waterfalls Encanto Pink 100/100 Pixie Tag</t>
  </si>
  <si>
    <t>TAG Begonia Waterfalls Encanto Red 100/100 Pixie Tag</t>
  </si>
  <si>
    <t>TAG Begonia Waterfalls Encanto White 100/100 Pixie Tag</t>
  </si>
  <si>
    <t>TAG Begonia Wax GENERIC 100/100 Hang Tag</t>
  </si>
  <si>
    <t>TAG Begonia Whopper Bronze Leaf Red 100/100 Pixie Tag</t>
  </si>
  <si>
    <t>TAG Begonia Whopper Bronze Leaf Rose 100/100 Pixie Tag</t>
  </si>
  <si>
    <t>TAG Begonia Whopper Green Leaf Pink 100/100 Pixie Tag</t>
  </si>
  <si>
    <t>TAG Begonia Whopper Green Leaf Red 100/100 Pixie Tag</t>
  </si>
  <si>
    <t>TAG Begonia Whopper Green Leaf Rose 100/100 Pixie Tag</t>
  </si>
  <si>
    <t>TAG Begonia Whopper Green Leaf White 100/100 Pixie Tag</t>
  </si>
  <si>
    <t>TAG Begonia White GENERIC 100/100 Pixie Tag</t>
  </si>
  <si>
    <t>TAG Begonia White Bilingual GENERIC 100/100 Pixie Tag</t>
  </si>
  <si>
    <t>TAG Begonia Yellow GENERIC 100/100 Pixie Tag</t>
  </si>
  <si>
    <t>TAG Begonia Yellow Stone 100/100 Pixie Tag</t>
  </si>
  <si>
    <t>TAG Belamcanda Blackberry Lily GENERIC Chinensis 25/25 Portrait Tag</t>
  </si>
  <si>
    <t>TAG Bellis Bam Bam Mix 25/25 Portrait Tag SF</t>
  </si>
  <si>
    <t>TAG Bellis Bam Bam Red 25/25 Portrait Tag SF</t>
  </si>
  <si>
    <t>TAG Bellis Bam Bam Rose 25/25 Portrait Tag SF</t>
  </si>
  <si>
    <t>TAG Bellis BellaDaisy Series 25/25 Portrait Tag</t>
  </si>
  <si>
    <t>TAG Bellis Bellissima Mix 25/25 Portrait Tag</t>
  </si>
  <si>
    <t>TAG Bellis Bellissima Red 25/25 Portrait Tag</t>
  </si>
  <si>
    <t>TAG Bellis Bellissima Rose 25/25 Portrait Tag</t>
  </si>
  <si>
    <t>TAG Bellis Bellissima White 25/25 Portrait Tag</t>
  </si>
  <si>
    <t>TAG Bellis English Daisy GENERIC 100/100 Pixie Tag</t>
  </si>
  <si>
    <t>TAG Bellis English Daisy GENERIC 25/25 Portrait Tag</t>
  </si>
  <si>
    <t>TAG Bellis Galaxy Mix 100/100 Pixie Tag</t>
  </si>
  <si>
    <t>TAG Bellis Galaxy Mix 25/25 Portrait Tag</t>
  </si>
  <si>
    <t>TAG Bellis Habanera Mix 100/100 Pixie Tag</t>
  </si>
  <si>
    <t>TAG Bellis Habanera Mix 25/25 Portrait Tag</t>
  </si>
  <si>
    <t>TAG Bellis Pomponette Mix 25/25 Portrait Tag</t>
  </si>
  <si>
    <t>TAG Bellis Speedstar Series 25/25 Portrait Tag</t>
  </si>
  <si>
    <t>TAG Bellis Tasso Mix 25/25 Portrait Tag</t>
  </si>
  <si>
    <t>TAG Bellis Tasso Strawberries N Cream 25/25 Portrait Tag</t>
  </si>
  <si>
    <t>TAG Bergenia Heartleaf GENERIC 25/25 Portrait Tag</t>
  </si>
  <si>
    <t>TAG Bergenia Red Beauty 25/25 Portrait Tag</t>
  </si>
  <si>
    <t>TAG Bergenia Shoeshine Rose 25/25 Portrait Tag SF</t>
  </si>
  <si>
    <t>TAG Bergenia Winterglut 25/25 Portrait Tag</t>
  </si>
  <si>
    <t>TAG Swiss Chard Bright Lights 25/25 Portrait Tag</t>
  </si>
  <si>
    <t>TAG Bidens Bee Series 100/100 Pixie Tag</t>
  </si>
  <si>
    <t>TAG Bidens Bee Yellow Crown 100/100 Pixie Tag</t>
  </si>
  <si>
    <t>TAG Bidens Bidy Blaze 50/50 Petite Portrait DO FUL</t>
  </si>
  <si>
    <t>TAG Bidens Bidy Boom Bonfire 50/50 Petite Portrait DO FUL</t>
  </si>
  <si>
    <t>TAG Bidens Bidy Boom Ember 50/50 Petite Portrait DO FUL</t>
  </si>
  <si>
    <t>TAG Bidens Bidy Boom Red 50/50 Petite Portrait DO FUL</t>
  </si>
  <si>
    <t>TAG Bidens Bidy Gonzales 50/50 Petite Portrait DO FUL</t>
  </si>
  <si>
    <t>TAG Bidens Bidy Gonzales Big 50/50 Petite Portrait DO FUL</t>
  </si>
  <si>
    <t>TAG Bidens Bidy Gonzales Top 50/50 Petite Portrait DO FUL</t>
  </si>
  <si>
    <t>TAG Bidens Bidy Gonzales Trailing 50/50 Petite Portrait DO FUL</t>
  </si>
  <si>
    <t>TAG Bidens Bidy Wildfire 50/50 Petite Portrait DO FUL</t>
  </si>
  <si>
    <t>TAG Bidens Blazing Embers 100/100 Pixie Tag DO</t>
  </si>
  <si>
    <t>TAG Bidens Blazing Fire 100/100 Pixie Tag DO</t>
  </si>
  <si>
    <t>TAG Bidens Blazing Glory 100/100 Pixie Tag DO</t>
  </si>
  <si>
    <t>TAG Bidens Blazing Star 100/100 Pixie Tag DO</t>
  </si>
  <si>
    <t>TAG Bidens Brazen Eternal Flame 50/50 Petite Portrait SF FUL</t>
  </si>
  <si>
    <t>TAG Bidens Brazen Glowing Sky 50/50 Petite Portrait SF FUL</t>
  </si>
  <si>
    <t>TAG Bidens Brazen Happy Sun 50/50 Petite Portrait SF FUL</t>
  </si>
  <si>
    <t>TAG Bidens Brazen Imperial Luck 50/50 Petite Portrait SF FUL</t>
  </si>
  <si>
    <t>TAG Bidens Brazen Red Flare 50/50 Petite Portrait SF FUL</t>
  </si>
  <si>
    <t>TAG Bidens Brazen Rising Sun 50/50 Petite Portrait SF FUL</t>
  </si>
  <si>
    <t>TAG Bidens Brazen Samurai 50/50 Petite Portrait SF FUL</t>
  </si>
  <si>
    <t>TAG Bidens Doubloon Gold 100/100 Pixie Tag</t>
  </si>
  <si>
    <t>TAG Bidens Doubloon Red Bicolor 100/100 Pixie Tag</t>
  </si>
  <si>
    <t>TAG Bidens Giant Double 100/100 Pixie Tag</t>
  </si>
  <si>
    <t>TAG Bidens Giant Sun Francisco 100/100 Pixie Tag</t>
  </si>
  <si>
    <t>TAG Bidens Giant Sun Louis 100/100 Pixie Tag</t>
  </si>
  <si>
    <t>TAG Bidens Giant White 100/100 Pixie Tag</t>
  </si>
  <si>
    <t>TAG Bidens Golden Empire 100/100 Pixie Tag</t>
  </si>
  <si>
    <t>TAG Bidens Mega Charm 100/100 Pixie Tag</t>
  </si>
  <si>
    <t>TAG Bidens Mexican Gold 50/50 Petite Portrait SF FUL</t>
  </si>
  <si>
    <t>TAG Bidens Mexican Gold Compact 50/50 Petite Portrait SF FUL</t>
  </si>
  <si>
    <t>TAG Bidens Mexican Gold Jumbo 50/50 Petite Portrait SF FUL</t>
  </si>
  <si>
    <t>TAG Bidens Mexican Gold Semi DO FULuble 50/50 Petite Portrait SF FUL</t>
  </si>
  <si>
    <t>TAG Bidens Pop Star 100/100 Pixie Tag</t>
  </si>
  <si>
    <t>TAG Bidens Pretty In Pink 100/100 Pixie Tag</t>
  </si>
  <si>
    <t>TAG Bidens Red GENERIC 100/100 Pixie Tag</t>
  </si>
  <si>
    <t>TAG Bidens Stellar Blanco 50/50 Petite Portrait DO FUL</t>
  </si>
  <si>
    <t>TAG Bidens Stellar Orange Ring 50/50 Petite Portrait DO FUL</t>
  </si>
  <si>
    <t>TAG Bidens Stellar Orange Star 50/50 Petite Portrait DO FUL</t>
  </si>
  <si>
    <t>TAG Bidens Stellar Red Ring 50/50 Petite Portrait DO FUL</t>
  </si>
  <si>
    <t>TAG Bidens Stellar Series 100/100 Pixie Tag</t>
  </si>
  <si>
    <t>TAG Bidens Sunshine Double 100/100 Pixie Tag</t>
  </si>
  <si>
    <t>TAG Bidens Tickseed 100/100 Pixie Tag</t>
  </si>
  <si>
    <t>TAG Bidens Timeless Blazing Flames 100/100 Pixie Tag</t>
  </si>
  <si>
    <t>TAG Bidens Timeless Blazing Ring Of Fire 100/100 Pixie Tag</t>
  </si>
  <si>
    <t>TAG Bidens White Delight 100/100 Pixie Tag</t>
  </si>
  <si>
    <t>TAG Bidens Yellow Charm 100/100 Pixie Tag</t>
  </si>
  <si>
    <t>TAG Bidens Yellow Crown 100/100 Pixie Tag</t>
  </si>
  <si>
    <t>TAG Bidens Yellow GENERIC 100/100 Pixie Tag</t>
  </si>
  <si>
    <t>TAG Bidens Yellow Splash 100/100 Pixie Tag</t>
  </si>
  <si>
    <t>TAG Bidens Yellow Sunshine 100/100 Pixie Tag</t>
  </si>
  <si>
    <t>TAG Blank Tags Hang N Tag 100/100 Hang Tag</t>
  </si>
  <si>
    <t>TAG Blank Tags Pixie 100/100 Pixie Tag</t>
  </si>
  <si>
    <t>TAG Blank Tags Portrait 25/25 Portrait Tag</t>
  </si>
  <si>
    <t>TAG Blueberry GENERIC 25/25 Portrait Tag</t>
  </si>
  <si>
    <t>TAG Bonsai GENERIC 100/100 Pixie Tag</t>
  </si>
  <si>
    <t>TAG Borage 100/100 Pixie Tag</t>
  </si>
  <si>
    <t>TAG Bougainvillea GENERIC 100/100 Hang Tag</t>
  </si>
  <si>
    <t>TAG Bougainvillea GENERIC 100/100 Pixie Tag</t>
  </si>
  <si>
    <t>TAG Bougainvillea GENERIC LG0850 100/100 Pixie Tag</t>
  </si>
  <si>
    <t>TAG Brachyscome Blue GENERIC 100/100 Pixie Tag</t>
  </si>
  <si>
    <t>TAG Brachyscome Brasco Violet 100/100 Pixie Tag</t>
  </si>
  <si>
    <t>TAG Brachyscome Fresco Candy 100/100 Pixie Tag</t>
  </si>
  <si>
    <t>TAG Brachyscome Fresco Purple 100/100 Pixie Tag</t>
  </si>
  <si>
    <t>TAG Brachyscome Mauve Delight 100/100 Pixie Tag</t>
  </si>
  <si>
    <t>TAG Brachyscome Mauve Delight 50/50 Petite Portrait DO FUL</t>
  </si>
  <si>
    <t>TAG Brachyscome Swan River Daisy GENERIC 100/100 Pixie Tag</t>
  </si>
  <si>
    <t>TAG Bracteantha Bright Bikinis Mix 100/100 Pixie Tag</t>
  </si>
  <si>
    <t>TAG Bracteantha Cottage Bronze 50/50 Petite Portrait DO FUL</t>
  </si>
  <si>
    <t>TAG Bracteantha Cottage Ice 50/50 Petite Portrait DO FUL</t>
  </si>
  <si>
    <t>TAG Bracteantha Cottage Lemon 50/50 Petite Portrait DO FUL</t>
  </si>
  <si>
    <t>TAG Bracteantha Cottage Orange 50/50 Petite Portrait DO FUL</t>
  </si>
  <si>
    <t>TAG Bracteantha Cottage Pink 50/50 Petite Portrait DO FUL</t>
  </si>
  <si>
    <t>TAG Bracteantha Cottage Series 100/100 Pixie Tag</t>
  </si>
  <si>
    <t>TAG Bracteantha Cottage Spring Mix 50/50 Petite Portrait DO FUL</t>
  </si>
  <si>
    <t>TAG Bracteantha Strawburst Yellow 50/50 Petite Portrait SF FUL</t>
  </si>
  <si>
    <t>TAG Bracteantha Strawflower GENERIC 100/100 Hang Tag</t>
  </si>
  <si>
    <t>TAG Bracteantha Strawflower GENERIC 100/100 Pixie Tag</t>
  </si>
  <si>
    <t>TAG Broccoli Arcadia 100/100 Pixie Tag</t>
  </si>
  <si>
    <t>TAG Broccoli Artwork 100/100 Pixie Tag</t>
  </si>
  <si>
    <t>TAG Broccoli Broccolini 100/100 Pixie Tag</t>
  </si>
  <si>
    <t>TAG Broccoli Castle Dome 100/100 Pixie Tag</t>
  </si>
  <si>
    <t>TAG Broccoli Destiny 100/100 Pixie Tag</t>
  </si>
  <si>
    <t>TAG Broccoli Early Dividend 100/100 Pixie Tag</t>
  </si>
  <si>
    <t>TAG Broccoli Emerald Jewel 100/100 Pixie Tag</t>
  </si>
  <si>
    <t>TAG Broccoli Everest 100/100 Pixie Tag</t>
  </si>
  <si>
    <t>TAG Broccoli GENERIC 100/100 Pixie Tag</t>
  </si>
  <si>
    <t>TAG Broccoli GENERIC 200/200 Thriftee Tag</t>
  </si>
  <si>
    <t>TAG Broccoli Green Comet 100/100 Pixie Tag</t>
  </si>
  <si>
    <t>TAG Broccoli Green Goliath 100/100 Pixie Tag</t>
  </si>
  <si>
    <t>TAG Broccoli Green Magic 100/100 Pixie Tag</t>
  </si>
  <si>
    <t>TAG Broccoli Imperial 100/100 Pixie Tag</t>
  </si>
  <si>
    <t>TAG Broccoli Italian Green Sprouting 100/100 Pixie Tag</t>
  </si>
  <si>
    <t>TAG Broccoli Packman 100/100 Pixie Tag</t>
  </si>
  <si>
    <t>TAG Broccoli Premium Crop 100/100 Pixie Tag</t>
  </si>
  <si>
    <t>TAG Broccoli Premium Crop 200/200 Thriftee Tag</t>
  </si>
  <si>
    <t>TAG Broccoli Purple Magic 100/100 Pixie Tag</t>
  </si>
  <si>
    <t>TAG Broccoli Skytree 100/100 Pixie Tag</t>
  </si>
  <si>
    <t>TAG Broccoli Waltham 29 100/100 Pixie Tag</t>
  </si>
  <si>
    <t>TAG Bromeliad GENERIC 100/100 Pixie Tag</t>
  </si>
  <si>
    <t>TAG Browallia Blue Bells 100/100 Pixie Tag</t>
  </si>
  <si>
    <t>TAG Browallia GENERIC 100/100 Pixie Tag</t>
  </si>
  <si>
    <t>TAG Brunnera Frostbite 25/25 Portrait Tag</t>
  </si>
  <si>
    <t>TAG Brunnera Frostline 25/25 Portrait Tag</t>
  </si>
  <si>
    <t>TAG Brunnera Jack Frost 25/25 Portrait Tag</t>
  </si>
  <si>
    <t>TAG Brunnera Macrophylla 25/25 Portrait Tag</t>
  </si>
  <si>
    <t>TAG Brunnera Permafrost 25/25 Portrait Tag</t>
  </si>
  <si>
    <t>TAG Brussels Sprouts Gustus 100/100 Pixie Tag</t>
  </si>
  <si>
    <t>TAG Brussels Sprouts Hestia 100/100 Pixie Tag</t>
  </si>
  <si>
    <t>TAG Brussels Sprouts Jade Cross 100/100 Pixie Tag</t>
  </si>
  <si>
    <t>TAG Brussels Sprouts Jade Cross E 100/100 Pixie Tag</t>
  </si>
  <si>
    <t>TAG Brussels Sprouts Long Island 100/100 Pixie Tag</t>
  </si>
  <si>
    <t>TAG Brussels Sprouts Redarling 100/100 Pixie Tag</t>
  </si>
  <si>
    <t>TAG Buddleia Black Knight 25/25 Portrait Tag</t>
  </si>
  <si>
    <t>TAG Buddleia Black Knight 50/50 Petite Portrait DO FUL</t>
  </si>
  <si>
    <t>TAG Buddleia Butterfly Bush GENERIC 100/100 Pixie Tag</t>
  </si>
  <si>
    <t>TAG Buddleia Butterfly Bush GENERIC 25/25 Portrait Tag</t>
  </si>
  <si>
    <t>TAG Buddleia Butterfly Gold 25/25 Portrait Tag</t>
  </si>
  <si>
    <t>TAG Buddleia Buzz Hot Raspberry 25/25 Portrait Tag</t>
  </si>
  <si>
    <t>TAG Buddleia Buzz Hot Raspberry 50/50 Petite Portrait DO FUL</t>
  </si>
  <si>
    <t>TAG Buddleia Buzz Ivory 25/25 Portrait Tag</t>
  </si>
  <si>
    <t>TAG Buddleia Buzz Lavender 25/25 Portrait Tag</t>
  </si>
  <si>
    <t>TAG Buddleia Buzz Magenta 50/50 Petite Portrait DO FUL</t>
  </si>
  <si>
    <t>TAG Buddleia Buzz Magenta 25/25 Portrait Tag</t>
  </si>
  <si>
    <t>TAG Buddleia Buzz Midnight 25/25 Portrait Tag</t>
  </si>
  <si>
    <t>TAG Buddleia Buzz Midnight 50/50 Petite Portrait DO FUL</t>
  </si>
  <si>
    <t>TAG Buddleia Buzz Purple 25/25 Portrait Tag</t>
  </si>
  <si>
    <t>TAG Buddleia Buzz Sky Blue 25/25 Portrait Tag</t>
  </si>
  <si>
    <t>TAG Buddleia Buzz Sky Blue 50/50 Petite Portrait DO FUL</t>
  </si>
  <si>
    <t>TAG Buddleia Buzz Soft Pink 100/100 Pixie Tag DO FUL</t>
  </si>
  <si>
    <t>TAG Buddleia Buzz Velvet 25/25 Portrait Tag</t>
  </si>
  <si>
    <t>TAG Buddleia Chrysalis Blue 25/25 Portrait Tag</t>
  </si>
  <si>
    <t>TAG Buddleia Chrysalis Cranberry 25/25 Portrait Tag</t>
  </si>
  <si>
    <t>TAG Buddleia Chrysalis Pink 25/25 Portrait Tag</t>
  </si>
  <si>
    <t>TAG Buddleia Chrysalis Purple 25/25 Portrait Tag</t>
  </si>
  <si>
    <t>TAG Buddleia Chrysalis Steel Blue 25/25 Portrait Tag</t>
  </si>
  <si>
    <t>TAG Buddleia Chrysalis White 25/25 Portrait Tag</t>
  </si>
  <si>
    <t>TAG Buddleia Gold Drop 25/25 Portrait Tag</t>
  </si>
  <si>
    <t>TAG Buddleia Leah Blue 25/25 Portrait Tag</t>
  </si>
  <si>
    <t>TAG Buddleia Leah Midnight 25/25 Portrait Tag</t>
  </si>
  <si>
    <t>TAG Buddleia Leah Pink 25/25 Portrait Tag</t>
  </si>
  <si>
    <t>TAG Buddleia Leah Raspberry 25/25 Portrait Tag</t>
  </si>
  <si>
    <t>TAG Buddleia Leah White 25/25 Portrait Tag</t>
  </si>
  <si>
    <t>TAG Buddleia Little Buddy Purple 25/25 Portrait Tag</t>
  </si>
  <si>
    <t>TAG Buddleia Little Buddy White 25/25 Portrait Tag</t>
  </si>
  <si>
    <t>TAG Buddleia Little Rockstars Blue 100/100 Pixie Tag DO FUL</t>
  </si>
  <si>
    <t>TAG Buddleia Little Rockstars Pink 100/100 Pixie Tag DO FUL</t>
  </si>
  <si>
    <t>TAG Buddleia Little Rockstars Purple 100/100 Pixie Tag DO FUL</t>
  </si>
  <si>
    <t>TAG Buddleia Little Rockstars Red 100/100 Pixie Tag DO FUL</t>
  </si>
  <si>
    <t>TAG Buddleia Little Rockstars White 100/100 Pixie Tag DO FUL</t>
  </si>
  <si>
    <t>TAG Buddleia Monarch Cherry Royale 25/25 Portrait Tag</t>
  </si>
  <si>
    <t>TAG Buddleia Nanho Blue 25/25 Portrait Tag</t>
  </si>
  <si>
    <t>TAG Buddleia Nanho Blue 50/50 Petite Portrait DO FUL</t>
  </si>
  <si>
    <t>TAG Buddleia Nanho Purple 25/25 Portrait Tag</t>
  </si>
  <si>
    <t>TAG Buddleia Nanho Purple 50/50 Petite Portrait DO FUL</t>
  </si>
  <si>
    <t>TAG Buddleia Pink Cascade II 25/25 Portrait Tag</t>
  </si>
  <si>
    <t>TAG Buddleia Pink Delight 25/25 Portrait Tag</t>
  </si>
  <si>
    <t>TAG Buddleia Princess Pink 25/25 Portrait Tag</t>
  </si>
  <si>
    <t>TAG Buddleia Royal Red 25/25 Portrait Tag</t>
  </si>
  <si>
    <t>TAG Buddleia Royal Red 50/50 Petite Portrait DO FUL</t>
  </si>
  <si>
    <t>TAG Buddleia Summer Bird Series 25/25 Portrait Tag</t>
  </si>
  <si>
    <t>TAG Buddleia Violet Cascade 25/25 Portrait Tag</t>
  </si>
  <si>
    <t>TAG Cabbage All Season Mix 100/100 Pixie Tag</t>
  </si>
  <si>
    <t>TAG Cabbage Blue Dynasty 100/100 Pixie Tag</t>
  </si>
  <si>
    <t>TAG Cabbage Blue Vantage 100/100 Pixie Tag</t>
  </si>
  <si>
    <t>TAG Cabbage Bravo 100/100 Pixie Tag</t>
  </si>
  <si>
    <t>TAG Cabbage Cheers 100/100 Pixie Tag</t>
  </si>
  <si>
    <t>TAG Cabbage China Gold Chinese 100/100 Pixie Tag</t>
  </si>
  <si>
    <t>TAG Cabbage China King Chinese 100/100 Pixie Tag</t>
  </si>
  <si>
    <t>TAG Cabbage Gourmet Chinese 100/100 Pixie Tag</t>
  </si>
  <si>
    <t>TAG Cabbage Copenhagen 100/100 Pixie Tag</t>
  </si>
  <si>
    <t>TAG Cabbage Copenhagen Market 100/100 Pixie Tag</t>
  </si>
  <si>
    <t>TAG Cabbage Danish Ballhead 100/100 Pixie Tag</t>
  </si>
  <si>
    <t>TAG Cabbage Discovery 100/100 Pixie Tag</t>
  </si>
  <si>
    <t>TAG Cabbage Dynamo 100/100 Pixie Tag</t>
  </si>
  <si>
    <t>TAG Cabbage Early 100/100 Pixie Tag</t>
  </si>
  <si>
    <t>TAG Cabbage Early Flat Dutch 100/100 Pixie Tag</t>
  </si>
  <si>
    <t>TAG Cabbage Early Jersey Wakefield 100/100 Pixie Tag</t>
  </si>
  <si>
    <t>TAG Cabbage Emerald Cross 100/100 Pixie Tag</t>
  </si>
  <si>
    <t>TAG Cabbage Fast Vantage 100/100 Pixie Tag</t>
  </si>
  <si>
    <t>TAG Cabbage GENERIC 100/100 Pixie Tag</t>
  </si>
  <si>
    <t>TAG Cabbage GENERIC 200/200 Thriftee Tag</t>
  </si>
  <si>
    <t>TAG Cabbage Golden Acre 100/100 Pixie Tag</t>
  </si>
  <si>
    <t>TAG Cabbage Golden Cross 100/100 Pixie Tag</t>
  </si>
  <si>
    <t>TAG Cabbage Gregorian 100/100 Pixie Tag</t>
  </si>
  <si>
    <t>TAG Cabbage Headstart 100/100 Pixie Tag</t>
  </si>
  <si>
    <t>TAG Cabbage Hybrid O S 100/100 Pixie Tag</t>
  </si>
  <si>
    <t>TAG Cabbage K K Cross 100/100 Pixie Tag</t>
  </si>
  <si>
    <t>TAG Cabbage Katarina 100/100 Pixie Tag</t>
  </si>
  <si>
    <t>TAG Cabbage Late 100/100 Pixie Tag</t>
  </si>
  <si>
    <t>TAG Cabbage Late Flat Dutch 100/100 Pixie Tag</t>
  </si>
  <si>
    <t>TAG Cabbage Market Prize 100/100 Pixie Tag</t>
  </si>
  <si>
    <t>TAG Cabbage Mid Season 100/100 Pixie Tag</t>
  </si>
  <si>
    <t>TAG Cabbage Pak Choi 100/100 Pixie Tag</t>
  </si>
  <si>
    <t>TAG Cabbage Pak Choi Asian Delight 100/100 Pixie Tag</t>
  </si>
  <si>
    <t>TAG Cabbage Pak Choi Gourmet White Stem 100/100 Pixie Tag</t>
  </si>
  <si>
    <t>TAG Cabbage Pak Choi Joi Choi 100/100 Pixie Tag</t>
  </si>
  <si>
    <t>TAG Cabbage Pak Choi Mei Qing Choi 100/100 Pixie Tag</t>
  </si>
  <si>
    <t>TAG Cabbage Pink GENERIC 100/100 Pixie Tag</t>
  </si>
  <si>
    <t>TAG Cabbage Red 100/100 Pixie Tag</t>
  </si>
  <si>
    <t>TAG Cabbage Red Acre 100/100 Pixie Tag</t>
  </si>
  <si>
    <t>TAG Cabbage Red Cabbage GENERIC 100/100 Pixie Tag</t>
  </si>
  <si>
    <t>TAG Cabbage Red Jewel 100/100 Pixie Tag</t>
  </si>
  <si>
    <t>TAG Cabbage Rio Verde 100/100 Pixie Tag</t>
  </si>
  <si>
    <t>TAG Cabbage Ruby Ball 100/100 Pixie Tag</t>
  </si>
  <si>
    <t>TAG Cabbage Ruby Perfection 100/100 Pixie Tag</t>
  </si>
  <si>
    <t>TAG Cabbage Savoy Ace 100/100 Pixie Tag</t>
  </si>
  <si>
    <t>TAG Cabbage Savoy Express 100/100 Pixie Tag</t>
  </si>
  <si>
    <t>TAG Cabbage Savoy King 100/100 Pixie Tag</t>
  </si>
  <si>
    <t>TAG Cabbage Stonehead 100/100 Pixie Tag</t>
  </si>
  <si>
    <t>TAG Cabbage Stonehead 200/200 Thriftee Tag</t>
  </si>
  <si>
    <t>TAG Cabbage Storage No 4 100/100 Pixie Tag</t>
  </si>
  <si>
    <t>TAG Cabbage Sweet Slaw 100/100 Pixie Tag</t>
  </si>
  <si>
    <t>TAG Cabbage Sweet Thang 100/100 Pixie Tag</t>
  </si>
  <si>
    <t>TAG Cabbage White Cabbage GENERIC 100/100 Pixie Tag</t>
  </si>
  <si>
    <t>TAG Cactus Christmas GENERIC 100/100 Pixie Tag</t>
  </si>
  <si>
    <t>TAG Cactus GENERIC 100/100 Pixie Tag</t>
  </si>
  <si>
    <t>TAG Caladium Aaron 100/100 Pixie Tag</t>
  </si>
  <si>
    <t>TAG Caladium Candidum 100/100 Pixie Tag</t>
  </si>
  <si>
    <t>TAG Caladium Carolyn Whorton 100/100 Pixie Tag</t>
  </si>
  <si>
    <t>TAG Caladium Fannie Munson 100/100 Pixie Tag</t>
  </si>
  <si>
    <t>TAG Caladium Florida Cardinal 100/100 Pixie Tag</t>
  </si>
  <si>
    <t>TAG Caladium Frieda Hemple 100/100 Pixie Tag</t>
  </si>
  <si>
    <t>TAG Caladium GENERIC 25/25 Portrait Tag</t>
  </si>
  <si>
    <t>TAG Caladium Bilingual GENERIC 100/100 Pixie Tag</t>
  </si>
  <si>
    <t>TAG Caladium Indoor Flowering 100/100 Pixie Tag</t>
  </si>
  <si>
    <t>TAG Caladium Miss Muffet 100/100 Pixie Tag</t>
  </si>
  <si>
    <t>TAG Caladium Red Flash 100/100 Pixie Tag</t>
  </si>
  <si>
    <t>TAG Caladium Rosebud 100/100 Pixie Tag</t>
  </si>
  <si>
    <t>TAG Caladium Strap Leaf GENERIC 25/25 Portrait Tag</t>
  </si>
  <si>
    <t>TAG Caladium White Queen 100/100 Pixie Tag</t>
  </si>
  <si>
    <t>TAG Calamagrostis Avalanche 25/25 Portrait Tag</t>
  </si>
  <si>
    <t>TAG Calamagrostis Brachytricha 25/25 Portrait Tag</t>
  </si>
  <si>
    <t>TAG Calamagrostis Eldorado 25/25 Portrait Tag</t>
  </si>
  <si>
    <t>TAG Calamagrostis Karl Foerster 25/25 Portrait Tag</t>
  </si>
  <si>
    <t>TAG Calamagrostis Overdam 25/25 Portrait Tag</t>
  </si>
  <si>
    <t>TAG Calamintha Blue Cloud 25/25 Portrait Tag</t>
  </si>
  <si>
    <t>TAG Calamintha GENERIC 25/25 Portrait Tag</t>
  </si>
  <si>
    <t>TAG Calamintha Variegata 25/25 Portrait Tag</t>
  </si>
  <si>
    <t>TAG Calathea GENERIC 100/100 Pixie Tag</t>
  </si>
  <si>
    <t>TAG Calathea Peacock Plant 100/100 Pixie Tag</t>
  </si>
  <si>
    <t>TAG Calathea Pinstripe Plant 100/100 Pixie Tag</t>
  </si>
  <si>
    <t>TAG Calathea Rattlesnake Plant 100/100 Pixie Tag</t>
  </si>
  <si>
    <t>TAG Calathea Rose Painted 100/100 Pixie Tag</t>
  </si>
  <si>
    <t>TAG Calceo Calceolaria GENERIC 100/100 Pixie Tag</t>
  </si>
  <si>
    <t>TAG Calendula Alpha 25/25 Portrait Tag</t>
  </si>
  <si>
    <t>TAG Calendula Bon Bon Mix 100/100 Pixie Tag</t>
  </si>
  <si>
    <t>TAG Calendula Bon Bon Orange 100/100 Pixie Tag</t>
  </si>
  <si>
    <t>TAG Calendula Bon Bon Yellow 100/100 Pixie Tag</t>
  </si>
  <si>
    <t>TAG Calendula Cheers Tangerine 100/100 Pixie Tag</t>
  </si>
  <si>
    <t>TAG Calendula Cheers Yellow 100/100 Pixie Tag</t>
  </si>
  <si>
    <t>TAG Calendula Costa Mix 100/100 Pixie Tag SF</t>
  </si>
  <si>
    <t>TAG Calendula Costa Orange 100/100 Pixie Tag SF</t>
  </si>
  <si>
    <t>TAG Calendula Costa Yellow 100/100 Pixie Tag SF</t>
  </si>
  <si>
    <t>TAG Calendula GENERIC 100/100 Pixie Tag</t>
  </si>
  <si>
    <t>TAG Calendula Power Daisy Sunny 100/100 Pixie Tag</t>
  </si>
  <si>
    <t>TAG Calibrachoa Aloha Blue Sky 50/50 Petite Portrait DO FUL</t>
  </si>
  <si>
    <t>TAG Calibrachoa Aloha Buttercream 50/50 Petite Portrait DO FUL</t>
  </si>
  <si>
    <t>TAG Calibrachoa Aloha Canary Yellow 50/50 Petite Portrait DO FUL</t>
  </si>
  <si>
    <t>TAG Calibrachoa Aloha Cherry Cartwheel 50/50 Petite Portrait DO FUL</t>
  </si>
  <si>
    <t>TAG Calibrachoa Aloha Clear Pink 50/50 Petite Portrait DO FUL</t>
  </si>
  <si>
    <t>TAG Calibrachoa Aloha DO FULuble Apricot 50/50 Petite Portrait DO FUL</t>
  </si>
  <si>
    <t>TAG Calibrachoa Aloha Double Bowl Of Blueberries 50/50 Pixie TAG DO FUL</t>
  </si>
  <si>
    <t>TAG Calibrachoa Aloha Double Bowl Of Cherries 50/50 Pixie TAG DO FUL</t>
  </si>
  <si>
    <t>TAG Calibrachoa Aloha DO FULuble Citric 50/50 Petite Portrait DO FUL</t>
  </si>
  <si>
    <t>TAG Calibrachoa Aloha DO FULuble Dark Pink 50/50 Petite Portrait DO FUL</t>
  </si>
  <si>
    <t>TAG Calibrachoa Aloha Double Hot Orange 50/50 Pixie TAG DO FUL</t>
  </si>
  <si>
    <t>TAG Calibrachoa Aloha DO FULuble Lavender 50/50 Petite Portrait DO FUL</t>
  </si>
  <si>
    <t>TAG Calibrachoa Aloha DO FULuble Orange 50/50 Petite Portrait DO FUL</t>
  </si>
  <si>
    <t>TAG Calibrachoa Aloha DO FULuble Pink 50/50 Petite Portrait DO FUL</t>
  </si>
  <si>
    <t>TAG Calibrachoa Aloha DO FULuble Purple 50/50 Petite Portrait DO FUL</t>
  </si>
  <si>
    <t>TAG Calibrachoa Aloha DO FULuble Red 50/50 Petite Portrait DO FUL</t>
  </si>
  <si>
    <t>TAG Calibrachoa Aloha DO FULuble Soft Pink 50/50 Petite Portrait DO FUL</t>
  </si>
  <si>
    <t>TAG Calibrachoa Aloha DO FULuble Soft Pink Eye 50/50 Petite Portrait DO FUL</t>
  </si>
  <si>
    <t>TAG Calibrachoa Aloha DO FULuble White 50/50 Petite Portrait DO FUL</t>
  </si>
  <si>
    <t>TAG Calibrachoa Aloha Hot Orange 50/50 Petite Portrait DO FUL</t>
  </si>
  <si>
    <t>TAG Calibrachoa Aloha Kona Blue Sky 50/50 Petite Portrait DO FUL</t>
  </si>
  <si>
    <t>TAG Calibrachoa Aloha Kona Cherry Red 50/50 Petite Portrait DO FUL</t>
  </si>
  <si>
    <t>TAG Calibrachoa Aloha Kona Dark Lavender CR3588 50/50 Petite Portrait DO FUL</t>
  </si>
  <si>
    <t>TAG Calibrachoa Aloha Kona Dark Lavender 50/50 Petite Portrait DO FUL</t>
  </si>
  <si>
    <t>TAG Calibrachoa Aloha Kona Dark Red 50/50 Petite Portrait DO FUL</t>
  </si>
  <si>
    <t>TAG Calibrachoa Aloha Kona Fuchsia 50/50 Petite Portrait DO FUL</t>
  </si>
  <si>
    <t>TAG Calibrachoa Aloha Kona Hawaiian Orchid 50/50 Petite Portrait DO FUL</t>
  </si>
  <si>
    <t>TAG Calibrachoa Aloha Kona Hawaiian Sunset 50/50 Petite Portrait DO FUL</t>
  </si>
  <si>
    <t>TAG Calibrachoa Aloha Kona Honeycomb 50/50 Petite Portrait DO FUL</t>
  </si>
  <si>
    <t>TAG Calibrachoa Aloha Kona Hot Orange 50/50 Petite Portrait DO FUL</t>
  </si>
  <si>
    <t>TAG Calibrachoa Aloha Kona Hot Pink 50/50 Petite Portrait DO FUL</t>
  </si>
  <si>
    <t>TAG Calibrachoa Aloha Kona Mango 50/50 Petite Portrait DO FUL</t>
  </si>
  <si>
    <t>TAG Calibrachoa Aloha Kona Midnight Blue 50/50 Petite Portrait DO FUL</t>
  </si>
  <si>
    <t>TAG Calibrachoa Aloha Kona Midnight Purple 50/50 Petite Portrait DO FUL</t>
  </si>
  <si>
    <t>TAG Calibrachoa Aloha Kona Mandarin 50/50 Petite Portrait DO FUL</t>
  </si>
  <si>
    <t>TAG Calibrachoa Aloha Kona Nani Hawaiian 50/50 Petite Portrait DO FUL</t>
  </si>
  <si>
    <t>TAG Calibrachoa Aloha Kona Neon 50/50 Petite Portrait DO FUL</t>
  </si>
  <si>
    <t>TAG Calibrachoa Aloha Kona Orange 50/50 Petite Portrait DO FUL</t>
  </si>
  <si>
    <t>TAG Calibrachoa Aloha Kona Orange Zest 50/50 Petite Portrait DO FUL</t>
  </si>
  <si>
    <t>TAG Calibrachoa Aloha Kona Pineapple 50/50 Petite Portrait DO FUL</t>
  </si>
  <si>
    <t>TAG Calibrachoa Aloha Kona Pink 50/50 Petite Portrait DO FUL</t>
  </si>
  <si>
    <t>TAG Calibrachoa Aloha Kona Royal White 50/50 Petite Portrait DO FUL</t>
  </si>
  <si>
    <t>TAG Calibrachoa Aloha Kona Soft Pink 50/50 Petite Portrait DO FUL</t>
  </si>
  <si>
    <t>TAG Calibrachoa Aloha Kona Sunshine 50/50 Petite Portrait DO FUL</t>
  </si>
  <si>
    <t>TAG Calibrachoa Aloha Kona Tiki Blue Sky 50/50 Petite Portrait DO FUL</t>
  </si>
  <si>
    <t>TAG Calibrachoa Aloha Kona Tiki Pink 50/50 Petite Portrait DO FUL</t>
  </si>
  <si>
    <t>TAG Calibrachoa Aloha Kona Tiki Soft Pink 50/50 Petite Portrait DO FUL</t>
  </si>
  <si>
    <t>TAG Calibrachoa Aloha Kona True Blue 50/50 Petite Portrait DO FUL</t>
  </si>
  <si>
    <t>TAG Calibrachoa Aloha Kona White 50/50 Petite Portrait DO FUL</t>
  </si>
  <si>
    <t>TAG Calibrachoa Aloha Kona Yellow 50/50 Petite Portrait DO FUL</t>
  </si>
  <si>
    <t>TAG Calibrachoa Aloha Midnight Purple 50/50 Petite Portrait DO FUL</t>
  </si>
  <si>
    <t>TAG Calibrachoa Aloha Nani Appleblossom 50/50 Petite Portrait DO FUL</t>
  </si>
  <si>
    <t>TAG Calibrachoa Aloha Nani Blue Sky 50/50 Petite Portrait DO FUL</t>
  </si>
  <si>
    <t>TAG Calibrachoa Aloha Nani Calibash 50/50 Petite Portrait DO FUL</t>
  </si>
  <si>
    <t>TAG Calibrachoa Aloha Nani Dark Red 50/50 Petite Portrait DO FUL</t>
  </si>
  <si>
    <t>TAG Calibrachoa Aloha Nani Fire Red 50/50 Petite Portrait DO FUL</t>
  </si>
  <si>
    <t>TAG Calibrachoa Aloha Nani Golden Girl 50/50 Petite Portrait DO FUL</t>
  </si>
  <si>
    <t>TAG Calibrachoa Aloha Nani Hawaiian Valtine 50/50 Petite Portrait DO FUL</t>
  </si>
  <si>
    <t>TAG Calibrachoa Aloha Nani Mango Tango 50/50 Petite Portrait DO FUL</t>
  </si>
  <si>
    <t>TAG Calibrachoa Aloha Nani Midnight Blue 50/50 Petite Portrait DO FUL</t>
  </si>
  <si>
    <t>TAG Calibrachoa Aloha Nani Pink 50/50 Petite Portrait DO FUL</t>
  </si>
  <si>
    <t>TAG Calibrachoa Aloha Nani Red Cartwheel 50/50 Petite Portrait DO FUL</t>
  </si>
  <si>
    <t>TAG Calibrachoa Aloha Nani Tropicana 50/50 Petite Portrait DO FUL</t>
  </si>
  <si>
    <t>TAG Calibrachoa Aloha Nani White 50/50 Petite Portrait DO FUL</t>
  </si>
  <si>
    <t>TAG Calibrachoa Aloha Neon Volcano 50/50 Petite Portrait DO FUL</t>
  </si>
  <si>
    <t>TAG Calibrachoa Aloha Pink Volcano 50/50 Petite Portrait DO FUL</t>
  </si>
  <si>
    <t>TAG Calibrachoa Aloha Purple 50/50 Petite Portrait DO FUL</t>
  </si>
  <si>
    <t>TAG Calibrachoa Aloha Purple Sky 50/50 Petite Portrait DO FUL</t>
  </si>
  <si>
    <t>TAG Calibrachoa Aloha Red 50/50 Petite Portrait DO FUL</t>
  </si>
  <si>
    <t>TAG Calibrachoa Aloha Royal White 50/50 Petite Portrait DO FUL</t>
  </si>
  <si>
    <t>TAG Calibrachoa Aloha Tiki Blue 50/50 Petite Portrait DO FUL</t>
  </si>
  <si>
    <t>TAG Calibrachoa Aloha Tiki Neon 50/50 Petite Portrait DO FUL</t>
  </si>
  <si>
    <t>TAG Calibrachoa Aloha Tiki Orange 50/50 Petite Portrait DO FUL</t>
  </si>
  <si>
    <t>TAG Calibrachoa Aloha Tiki Soft Pink 50/50 Petite Portrait DO FUL</t>
  </si>
  <si>
    <t>TAG Calibrachoa Aloha Volcano Gold 50/50 Petite Portrait DO FUL</t>
  </si>
  <si>
    <t>TAG Calibrachoa Aloha Volcano Sunset 50/50 Petite Portrait DO FUL</t>
  </si>
  <si>
    <t>TAG Calibrachoa Bloomtastic Blue Sky 50/50 Petite Portrait DO FUL</t>
  </si>
  <si>
    <t>TAG Calibrachoa Bloomtastic Cherry 50/50 Petite Portrait DO FUL</t>
  </si>
  <si>
    <t>TAG Calibrachoa Bloomtastic Chili Pepper 50/50 Petite Portrait DO FUL</t>
  </si>
  <si>
    <t>TAG Calibrachoa Bloomtastic Lavender Quartz 50/50 Petite Portrait DO FUL</t>
  </si>
  <si>
    <t>TAG Calibrachoa Bloomtastic Peach Grenadine 50/50 Petite Portrait DO FUL</t>
  </si>
  <si>
    <t>TAG Calibrachoa Bloomtastic Pineapple 50/50 Petite Portrait DO FUL</t>
  </si>
  <si>
    <t>TAG Calibrachoa Bloomtastic Pink Flare 50/50 Petite Portrait DO FUL</t>
  </si>
  <si>
    <t>TAG Calibrachoa Bloomtastic Purple 50/50 Petite Portrait DO FUL</t>
  </si>
  <si>
    <t>TAG Calibrachoa Bloomtastic Red 50/50 Petite Portrait DO FUL</t>
  </si>
  <si>
    <t>TAG Calibrachoa Bloomtastic Rose Quartz 50/50 Petite Portrait DO FUL</t>
  </si>
  <si>
    <t>TAG Calibrachoa Bloomtastic Serenity 50/50 Petite Portrait DO FUL</t>
  </si>
  <si>
    <t>TAG Calibrachoa Bloomtastic Sunshine 50/50 Petite Portrait DO FUL</t>
  </si>
  <si>
    <t>TAG Calibrachoa Bloomtastic Tiki Pink 50/50 Petite Portrait DO FUL</t>
  </si>
  <si>
    <t>TAG Calibrachoa Bloomtastic Yellow 50/50 Petite Portrait DO FUL</t>
  </si>
  <si>
    <t>TAG Calibrachoa Cabrio Amethyst 50/50 Petite Portrait SF FUL</t>
  </si>
  <si>
    <t>TAG Calibrachoa Cabrio Burgundy 50/50 Petite Portrait SF FUL</t>
  </si>
  <si>
    <t>TAG Calibrachoa Cabrio Eclipse Lilac 50/50 Petite Portrait SF FUL</t>
  </si>
  <si>
    <t>TAG Calibrachoa Cabrio Eclipse Light Rose 50/50 Petite Portrait SF FUL</t>
  </si>
  <si>
    <t>TAG Calibrachoa Cabrio Eclipse Strawberry 50/50 Petite Portrait SF FUL</t>
  </si>
  <si>
    <t>TAG Calibrachoa Cabrio Grape 50/50 Petite Portrait SF FUL</t>
  </si>
  <si>
    <t>TAG Calibrachoa Cabrio Pink With Eye 50/50 Petite Portrait SF FUL</t>
  </si>
  <si>
    <t>TAG Calibrachoa Cabrio Sweet Peach 50/50 Petite Portrait SF FUL</t>
  </si>
  <si>
    <t>TAG Calibrachoa Cabrio Yellow 50/50 Petite Portrait SF FUL</t>
  </si>
  <si>
    <t>TAG Calibrachoa Calibasket Series 100/100 Pixie Tag</t>
  </si>
  <si>
    <t>TAG Calibrachoa Calico 100/100 Pixie Tag</t>
  </si>
  <si>
    <t>TAG Calibrachoa Caliloco Dreamland 100/100 Pixie Tag</t>
  </si>
  <si>
    <t>TAG Calibrachoa Caliloco Frankenberry 100/100 Pixie Tag</t>
  </si>
  <si>
    <t>TAG Calibrachoa Caliloco Graffitti 100/100 Pixie Tag</t>
  </si>
  <si>
    <t>TAG Calibrachoa Caliloco Mirage 100/100 Pixie Tag</t>
  </si>
  <si>
    <t>TAG Calibrachoa Caliloco Pink Squish 100/100 Pixie Tag</t>
  </si>
  <si>
    <t>TAG Calibrachoa Caliloco Plum Trouble 100/100 Pixie Tag</t>
  </si>
  <si>
    <t>TAG Calibrachoa Caliloco Razzle Dazzle 100/100 Pixie Tag</t>
  </si>
  <si>
    <t>TAG Calibrachoa Caliloco Spicy Honey 100/100 Pixie Tag</t>
  </si>
  <si>
    <t>TAG Calibrachoa Caliloco Starfire Blue 100/100 Pixie Tag</t>
  </si>
  <si>
    <t>TAG Calibrachoa Caliloco Starfire Orange 100/100 Pixie Tag</t>
  </si>
  <si>
    <t>TAG Calibrachoa Caliloco Starfire Rose 100/100 Pixie Tag</t>
  </si>
  <si>
    <t>TAG Calibrachoa Caliloco Sweetness 100/100 Pixie Tag</t>
  </si>
  <si>
    <t>TAG Calibrachoa Calipetite Blue 100/100 Pixie Tag</t>
  </si>
  <si>
    <t>TAG Calibrachoa Calipetite Mid Blue 100/100 Pixie Tag</t>
  </si>
  <si>
    <t>TAG Calibrachoa Calipetite Pink 100/100 Pixie Tag</t>
  </si>
  <si>
    <t>TAG Calibrachoa Calipetite Red 100/100 Pixie Tag</t>
  </si>
  <si>
    <t>TAG Calibrachoa Calipetite Sunset Orange 100/100 Pixie Tag</t>
  </si>
  <si>
    <t>TAG Calibrachoa Calipetite White 100/100 Pixie Tag</t>
  </si>
  <si>
    <t>TAG Calibrachoa Calipetite Yellow 100/100 Pixie Tag</t>
  </si>
  <si>
    <t>TAG Calibrachoa Calitastic Ballerina 50/50 Petite Portrait DO FUL</t>
  </si>
  <si>
    <t>TAG Calibrachoa Calitastic Blood Orange 50/50 Petite Portrait DO FUL</t>
  </si>
  <si>
    <t>TAG Calibrachoa Calitastic Bordeaux Star 50/50 Petite Portrait DO FUL</t>
  </si>
  <si>
    <t>TAG Calibrachoa Calitastic Bright Purple 50/50 Petite Portrait DO FUL</t>
  </si>
  <si>
    <t>TAG Calibrachoa Calitastic Bright Red 50/50 Petite Portrait DO FUL</t>
  </si>
  <si>
    <t>TAG Calibrachoa Calitastic Caramel 50/50 Petite Portrait DO FUL</t>
  </si>
  <si>
    <t>TAG Calibrachoa Calitastic Dark Red 50/50 Petite Portrait DO FUL</t>
  </si>
  <si>
    <t>TAG Calibrachoa Calitastic Fancy Fuchsia 50/50 Petite Portrait DO FUL</t>
  </si>
  <si>
    <t>TAG Calibrachoa Calitastic Gold 50/50 Petite Portrait DO FUL</t>
  </si>
  <si>
    <t>TAG Calibrachoa Calitastic Ice Blue 50/50 Petite Portrait DO FUL</t>
  </si>
  <si>
    <t>TAG Calibrachoa Calitastic Indigo 50/50 Petite Portrait DO FUL</t>
  </si>
  <si>
    <t>TAG Calibrachoa Calitastic Mango 50/50 Petite Portrait DO FUL</t>
  </si>
  <si>
    <t>TAG Calibrachoa Calitastic Marooned 50/50 Petite Portrait DO FUL</t>
  </si>
  <si>
    <t>TAG Calibrachoa Calitastic Merry Cherry 50/50 Petite Portrait DO FUL</t>
  </si>
  <si>
    <t>TAG Calibrachoa Calitastic Noble Blue 50/50 Petite Portrait DO FUL</t>
  </si>
  <si>
    <t>TAG Calibrachoa Calitastic Orange 50/50 Petite Portrait DO FUL</t>
  </si>
  <si>
    <t>TAG Calibrachoa Calitastic Plumberry Pop 50/50 Petite Portrait DO FUL</t>
  </si>
  <si>
    <t>TAG Calibrachoa Calitastic Raspberry 50/50 Petite Portrait DO FUL</t>
  </si>
  <si>
    <t>TAG Calibrachoa Calitastic Series 100/100 Pixie Tag</t>
  </si>
  <si>
    <t>TAG Calibrachoa Calitastic Sunnyside 50/50 Petite Portrait DO FUL</t>
  </si>
  <si>
    <t>TAG Calibrachoa Calitastic Tric Pink 50/50 Petite Portrait DO FUL</t>
  </si>
  <si>
    <t>TAG Calibrachoa Calitastic Violaceous 50/50 Petite Portrait DO FUL</t>
  </si>
  <si>
    <t>TAG Calibrachoa Callie Apricot 50/50 Petite Portrait SF FUL</t>
  </si>
  <si>
    <t>TAG Calibrachoa Callie Blue 50/50 Petite Portrait SF FUL</t>
  </si>
  <si>
    <t>TAG Calibrachoa Callie Blueberry Spark 50/50 Pixie Tag SF FUL</t>
  </si>
  <si>
    <t>TAG Calibrachoa Callie Burgundy 50/50 Petite Portrait SF FUL</t>
  </si>
  <si>
    <t>TAG Calibrachoa Callie Coral 50/50 Petite Portrait SF FUL</t>
  </si>
  <si>
    <t>TAG Calibrachoa Callie Dark Blue 50/50 Petite Portrait SF FUL</t>
  </si>
  <si>
    <t>TAG Calibrachoa Callie Dark Red 50/50 Petite Portrait SF FUL</t>
  </si>
  <si>
    <t>TAG Calibrachoa Callie Deep Orange 50/50 Petite Portrait SF FUL</t>
  </si>
  <si>
    <t>TAG Calibrachoa Callie Eclipse Lavender 50/50 Petite Portrait SF FUL</t>
  </si>
  <si>
    <t>TAG Calibrachoa Callie Eclipse Lilac 50/50 Petite Portrait SF FUL</t>
  </si>
  <si>
    <t>TAG Calibrachoa Callie Eclipse Strawberry 50/50 Petite Portrait SF FUL</t>
  </si>
  <si>
    <t>TAG Calibrachoa Callie Gold With Red Eye 50/50 Petite Portrait SF FUL</t>
  </si>
  <si>
    <t>TAG Calibrachoa Callie Hot Pink 50/50 Petite Portrait SF FUL</t>
  </si>
  <si>
    <t>TAG Calibrachoa Callie Hot Pink Spark 50/50 Petite Portrait SF FUL</t>
  </si>
  <si>
    <t>TAG Calibrachoa Callie Lavender 50/50 Petite Portrait SF FUL</t>
  </si>
  <si>
    <t>TAG Calibrachoa Callie Light Blue 50/50 Petite Portrait SF FUL</t>
  </si>
  <si>
    <t>TAG Calibrachoa Callie Mango 50/50 Petite Portrait SF FUL</t>
  </si>
  <si>
    <t>TAG Calibrachoa Callie Orange 50/50 Petite Portrait SF FUL</t>
  </si>
  <si>
    <t>TAG Calibrachoa Callie Orange Sunrise 50/50 Petite Portrait SF FUL</t>
  </si>
  <si>
    <t>TAG Calibrachoa Callie Pink With Eye 50/50 Petite Portrait SF FUL</t>
  </si>
  <si>
    <t>TAG Calibrachoa Callie Purple 50/50 Petite Portrait SF FUL</t>
  </si>
  <si>
    <t>TAG Calibrachoa Callie Rose 50/50 Petite Portrait SF FUL</t>
  </si>
  <si>
    <t>TAG Calibrachoa Callie Rose Dark Center 50/50 Petite Portrait SF FUL</t>
  </si>
  <si>
    <t>TAG Calibrachoa Callie Sky Blue 50/50 Petite Portrait SF FUL</t>
  </si>
  <si>
    <t>TAG Calibrachoa Callie Star Orange 50/50 Petite Portrait SF FUL</t>
  </si>
  <si>
    <t>TAG Calibrachoa Callie Star Pink 50/50 Petite Portrait SF FUL</t>
  </si>
  <si>
    <t>TAG Calibrachoa Callie Rose With Eye Star 50/50 Petite Portrait SF FUL</t>
  </si>
  <si>
    <t>TAG Calibrachoa Callie Strawberry 50/50 Petite Portrait SF FUL</t>
  </si>
  <si>
    <t>TAG Calibrachoa Callie Strawberry Spark 50/50 Pixie Tag SF FUL</t>
  </si>
  <si>
    <t>TAG Calibrachoa Callie Sunset Glow 50/50 Petite Portrait SF FUL</t>
  </si>
  <si>
    <t>TAG Calibrachoa Callie White 50/50 Petite Portrait SF FUL</t>
  </si>
  <si>
    <t>TAG Calibrachoa Callie White With Rose Vein 50/50 Petite Portrait SF FUL</t>
  </si>
  <si>
    <t>TAG Calibrachoa Callie Yellow 50/50 Petite Portrait SF FUL</t>
  </si>
  <si>
    <t>TAG Calibrachoa Candy Shop Bag Of Trix 100/100 Pixie Tag</t>
  </si>
  <si>
    <t>TAG Calibrachoa Candy Shop Bag Of Trix 50/50 Petite Portrait DO FUL</t>
  </si>
  <si>
    <t>TAG Calibrachoa Candy Shop Bouquet 100/100 Pixie Tag</t>
  </si>
  <si>
    <t>TAG Calibrachoa Candy Shop Candy Bouquet 50/50 Petite Portrait DO FUL</t>
  </si>
  <si>
    <t>TAG Calibrachoa Candy Shop Candy Crush 100/100 Pixie Tag</t>
  </si>
  <si>
    <t>TAG Calibrachoa Candy Shop Candy Crush 50/50 Petite Portrait DO FUL</t>
  </si>
  <si>
    <t>TAG Calibrachoa Candy Shop Chocolate 100/100 Pixie Tag</t>
  </si>
  <si>
    <t>TAG Calibrachoa Candy Shop Chocolate 50/50 Petite Portrait DO FUL</t>
  </si>
  <si>
    <t>TAG Calibrachoa Candy Shop Double Bubble Gum 100/100 Pixie Tag</t>
  </si>
  <si>
    <t>TAG Calibrachoa Candy Shop Fancy Berry 100/100 Pixie Tag</t>
  </si>
  <si>
    <t>TAG Calibrachoa Candy Shop Fancy Berry 50/50 Petite Portrait DO FUL</t>
  </si>
  <si>
    <t>TAG Calibrachoa Candy Shop Grape Splash 100/100 Pixie Tag</t>
  </si>
  <si>
    <t>TAG Calibrachoa Candy Shop Grape Splash 50/50 Petite Portrait DO FUL</t>
  </si>
  <si>
    <t>TAG Calibrachoa Candy Shop Milky Pink 100/100 Pixie Tag</t>
  </si>
  <si>
    <t>TAG Calibrachoa Candy Shop Pixie Stix Mix 50/50 Petite Portrait DO FUL</t>
  </si>
  <si>
    <t>TAG Calibrachoa Candy Shop Sweet Dreams 100/100 Pixie Tag</t>
  </si>
  <si>
    <t>TAG Calibrachoa Candy Shop Sweet Dreams 50/50 Petite Portrait DO FUL</t>
  </si>
  <si>
    <t>TAG Calibrachoa Candy Shop Sweet Tart 50/50 Petite Portrait DO FUL</t>
  </si>
  <si>
    <t>TAG Calibrachoa Caramel 100/100 Pixie Tag</t>
  </si>
  <si>
    <t>TAG Calibrachoa Chameleon Atomic Orange 100/100 Pixie Tag</t>
  </si>
  <si>
    <t>TAG Calibrachoa Chameleon Atomic Orange 50/50 Petite Portrait DO FUL</t>
  </si>
  <si>
    <t>TAG Calibrachoa Chameleon Avant Garden 100/100 Pixie Tag</t>
  </si>
  <si>
    <t>TAG Calibrachoa Chameleon Avant Garden 50/50 Petite Portrait DO FUL</t>
  </si>
  <si>
    <t>TAG Calibrachoa Chameleon Blackberry Pie 100/100 Pixie Tag</t>
  </si>
  <si>
    <t>TAG Calibrachoa Chameleon Blackberry Pie 50/50 Petite Portrait DO FUL</t>
  </si>
  <si>
    <t>TAG Calibrachoa Chameleon Blackberry Tart 50/50 Petite Portrait DO FUL</t>
  </si>
  <si>
    <t>TAG Calibrachoa Chameleon Blueberry Scone 100/100 Pixie Tag</t>
  </si>
  <si>
    <t>TAG Calibrachoa Celebration Chameleon Blueberry Scone 50/50 Petite Portrait DO FUL</t>
  </si>
  <si>
    <t>TAG Calibrachoa Chameleon Cherry Banana 100/100 Pixie Tag</t>
  </si>
  <si>
    <t>TAG Calibrachoa Chameleon Double Desert Rose 100/100 Pixie Tag</t>
  </si>
  <si>
    <t>TAG Calibrachoa Chameleon Double Desert Rose 50/50 Petite Portrait DO FUL</t>
  </si>
  <si>
    <t>TAG Calibrachoa Chameleon Double Inferno 100/100 Pixie Tag</t>
  </si>
  <si>
    <t>TAG Calibrachoa Chameleon Double Inferno 50/50 Petite Portrait DO FUL</t>
  </si>
  <si>
    <t>TAG Calibrachoa Chameleon Double Pink Yellow 100/100 Pixie Tag</t>
  </si>
  <si>
    <t>TAG Calibrachoa Chameleon Double Pink Yellow 50/50 Petite Portrait DO FUL</t>
  </si>
  <si>
    <t>TAG Calibrachoa Chameleon Double Tickled Pink 100/100 Pixie Tag</t>
  </si>
  <si>
    <t>TAG Calibrachoa Chameleon Fairytale 50/50 Petite Portrait DO FUL</t>
  </si>
  <si>
    <t>TAG Calibrachoa Chameleon Fashionista 50/50 Petite Portrait DO FUL</t>
  </si>
  <si>
    <t>TAG Calibrachoa Chameleon Frozen Ice 100/100 Pixie Tag</t>
  </si>
  <si>
    <t>TAG Calibrachoa Chameleon Frozen Ice 50/50 Petite Portrait DO FUL</t>
  </si>
  <si>
    <t>TAG Calibrachoa Chameleon Indian Summer 100/100 Pixie Tag</t>
  </si>
  <si>
    <t>TAG Calibrachoa Chameleon Indian Summer 50/50 Petite Portrait DO FUL</t>
  </si>
  <si>
    <t>TAG Calibrachoa Chameleon Lavender Sorbet 50/50 Petite Portrait DO FUL</t>
  </si>
  <si>
    <t>TAG Calibrachoa Chameleon Lemon Frose 100/100 Pixie Tag</t>
  </si>
  <si>
    <t>TAG Calibrachoa Chameleon Pink Diamond 50/50 Petite Portrait DO FUL</t>
  </si>
  <si>
    <t>TAG Calibrachoa Chameleon Pink Passion 50/50 Petite Portrait DO FUL</t>
  </si>
  <si>
    <t>TAG Calibrachoa Chameleon Pink Sorbet 50/50 Petite Portrait DO FUL</t>
  </si>
  <si>
    <t>TAG Calibrachoa Chameleon Pink Splash 100/100 Pixie Tag</t>
  </si>
  <si>
    <t>TAG Calibrachoa Chameleon Starlet Pink 50/50 Petite Portrait DO FUL</t>
  </si>
  <si>
    <t>TAG Calibrachoa Chameleon Sunshine 22 50/50 Petite Portrait DO FUL</t>
  </si>
  <si>
    <t>TAG Calibrachoa Chameleon Sunshine Berry 100/100 Pixie Tag</t>
  </si>
  <si>
    <t>TAG Calibrachoa Chameleon Sunshine Berry 50/50 Petite Portrait DO FUL</t>
  </si>
  <si>
    <t>TAG Calibrachoa Chameleon Tart Deco 100/100 Pixie Tag</t>
  </si>
  <si>
    <t>TAG Calibrachoa Chameleon Tart Deco 50/50 Petite Portrait DO FUL</t>
  </si>
  <si>
    <t>TAG Calibrachoa Colibri Abstract Guava 100/100 Pixie Tag</t>
  </si>
  <si>
    <t>TAG Calibrachoa Colibri Blizzard 100/100 Pixie Tag</t>
  </si>
  <si>
    <t>TAG Calibrachoa Colibri Bright Red 100/100 Pixie Tag</t>
  </si>
  <si>
    <t>TAG Calibrachoa Colibri Cherry Lace 100/100 Pixie Tag</t>
  </si>
  <si>
    <t>TAG Calibrachoa Colibri Dark Lavender 100/100 Pixie Tag</t>
  </si>
  <si>
    <t>TAG Calibrachoa Colibri Double Deep Purple 100/100 Pixie Tag</t>
  </si>
  <si>
    <t>TAG Calibrachoa Colibri Double Violet 100/100 Pixie Tag</t>
  </si>
  <si>
    <t>TAG Calibrachoa Colibri Exotic Red Bling 100/100 Pixie Tag</t>
  </si>
  <si>
    <t>TAG Calibrachoa Colibri Lemon 100/100 Pixie Tag</t>
  </si>
  <si>
    <t>TAG Calibrachoa Colibri Malibu Pink 100/100 Pixie Tag</t>
  </si>
  <si>
    <t>TAG Calibrachoa Colibri Mellow Yellow 100/100 Pixie Tag</t>
  </si>
  <si>
    <t>TAG Calibrachoa Colibri Orange 100/100 Pixie Tag</t>
  </si>
  <si>
    <t>TAG Calibrachoa Colibri Pink Bling 100/100 Pixie Tag</t>
  </si>
  <si>
    <t>TAG Calibrachoa Colibri Pink Flamingo 100/100 Pixie Tag</t>
  </si>
  <si>
    <t>TAG Calibrachoa Colibri Pink Lace 100/100 Pixie Tag</t>
  </si>
  <si>
    <t>TAG Calibrachoa Colibri Plum 100/100 Pixie Tag</t>
  </si>
  <si>
    <t>TAG Calibrachoa Colibri Pure White 100/100 Pixie Tag</t>
  </si>
  <si>
    <t>TAG Calibrachoa Colibri Purple Bling 100/100 Pixie Tag</t>
  </si>
  <si>
    <t>TAG Calibrachoa Colibri Purple Lace 100/100 Pixie Tag</t>
  </si>
  <si>
    <t>TAG Calibrachoa Colibri Spark Purple 100/100 Pixie Tag</t>
  </si>
  <si>
    <t>TAG Calibrachoa Colibri Tangerine 100/100 Pixie Tag</t>
  </si>
  <si>
    <t>TAG Calibrachoa Colibri Yellow Canary 100/100 Pixie Tag</t>
  </si>
  <si>
    <t>TAG Calibrachoa Crave Strawberry Star 100/100 Pixie Tag</t>
  </si>
  <si>
    <t>TAG Calibrachoa Dracula 100/100 Pixie Tag</t>
  </si>
  <si>
    <t>TAG Calibrachoa Dracula 50/50 Petite Portrait DO FUL</t>
  </si>
  <si>
    <t>TAG Calibrachoa Eyecatcher Blue 100/100 Pixie Tag</t>
  </si>
  <si>
    <t>TAG Calibrachoa Eyecatcher Orange 100/100 Pixie Tag</t>
  </si>
  <si>
    <t>TAG Calibrachoa Eyecatcher Pink 100/100 Pixie Tag</t>
  </si>
  <si>
    <t>TAG Calibrachoa Eyecatcher Purple 100/100 Pixie Tag</t>
  </si>
  <si>
    <t>TAG Calibrachoa Eyecatcher Rose 100/100 Pixie Tag</t>
  </si>
  <si>
    <t>TAG Calibrachoa Eyecatcher Sunspot 100/100 Pixie Tag</t>
  </si>
  <si>
    <t>TAG Calibrachoa Eyecatcher White 100/100 Pixie Tag</t>
  </si>
  <si>
    <t>TAG Calibrachoa Eyeconic Apricot 100/100 Pixie Tag</t>
  </si>
  <si>
    <t>TAG Calibrachoa Eyeconic Cherry Blossom 100/100 Pixie Tag</t>
  </si>
  <si>
    <t>TAG Calibrachoa Eyeconic Orange 100/100 Pixie Tag</t>
  </si>
  <si>
    <t>TAG Calibrachoa Eyeconic Peach 100/100 Pixie Tag</t>
  </si>
  <si>
    <t>TAG Calibrachoa Eyeconic Pink 100/100 Pixie Tag</t>
  </si>
  <si>
    <t>TAG Calibrachoa Eyeconic Purple 100/100 Pixie Tag</t>
  </si>
  <si>
    <t>TAG Calibrachoa Eyeconic Strawberry 100/100 Pixie Tag</t>
  </si>
  <si>
    <t>TAG Calibrachoa Eyeconic Sunset 100/100 Pixie Tag</t>
  </si>
  <si>
    <t>TAG Calibrachoa Firewalker 100/100 Pixie Tag</t>
  </si>
  <si>
    <t>TAG Calibrachoa GENERIC 100/100 Hang Tag</t>
  </si>
  <si>
    <t>TAG Calibrachoa GENERIC 25/25 Portrait Tag</t>
  </si>
  <si>
    <t>TAG Calibrachoa Bilingual GENERIC 100/100 Pixie Tag</t>
  </si>
  <si>
    <t>TAG Calibrachoa Hula Amethyst 50/50 Petite Portrait DO FUL</t>
  </si>
  <si>
    <t>TAG Calibrachoa Hula Appleblossom 50/50 Petite Portrait DO FUL</t>
  </si>
  <si>
    <t>TAG Calibrachoa Hula Blue 50/50 Petite Portrait DO FUL</t>
  </si>
  <si>
    <t>TAG Calibrachoa Hula Gold 50/50 Petite Portrait DO FUL</t>
  </si>
  <si>
    <t>TAG Calibrachoa Hula Gold Medal 50/50 Petite Portrait DO FUL</t>
  </si>
  <si>
    <t>TAG Calibrachoa Hula Hot Pink 50/50 Petite Portrait DO FUL</t>
  </si>
  <si>
    <t>TAG Calibrachoa Hula Orange 50/50 Petite Portrait DO FUL</t>
  </si>
  <si>
    <t>TAG Calibrachoa Hula Pastel Pink 50/50 Petite Portrait DO FUL</t>
  </si>
  <si>
    <t>TAG Calibrachoa Hula Red 50/50 Petite Portrait DO FUL</t>
  </si>
  <si>
    <t>TAG Calibrachoa Hula Soft Pink 50/50 Petite Portrait DO FUL</t>
  </si>
  <si>
    <t>TAG Calibrachoa Illusion 100/100 Pixie Tag</t>
  </si>
  <si>
    <t>TAG Calibrachoa Illusion 50/50 Petite Portrait DO FUL</t>
  </si>
  <si>
    <t>TAG Calibrachoa Kabloom Blue 100/100 Pixie Tag</t>
  </si>
  <si>
    <t>TAG Calibrachoa Kabloom Cherry 100/100 Pixie Tag</t>
  </si>
  <si>
    <t>TAG Calibrachoa Kabloom Coral 100/100 Pixie Tag</t>
  </si>
  <si>
    <t>TAG Calibrachoa Kabloom Deep Pink 100/100 Pixie Tag</t>
  </si>
  <si>
    <t>TAG Calibrachoa Kabloom Denim 100/100 Pixie Tag</t>
  </si>
  <si>
    <t>TAG Calibrachoa Kabloom Orange 100/100 Pixie Tag</t>
  </si>
  <si>
    <t>TAG Calibrachoa Kabloom Pink 100/100 Pixie Tag</t>
  </si>
  <si>
    <t>TAG Calibrachoa Kabloom Pink Light Blast 100/100 Pixie Tag</t>
  </si>
  <si>
    <t>TAG Calibrachoa Kabloom White 100/100 Pixie Tag</t>
  </si>
  <si>
    <t>TAG Calibrachoa Kabloom Yellow 100/100 Pixie Tag</t>
  </si>
  <si>
    <t>TAG Calibrachoa Lavender Spring 50/50 Petite Portrait DO FUL</t>
  </si>
  <si>
    <t>TAG Calibrachoa Lia Series 100/100 Pixie Tag</t>
  </si>
  <si>
    <t>TAG Calibrachoa Lindura Orange 50/50 Petite Portrait DO FUL</t>
  </si>
  <si>
    <t>TAG Calibrachoa Lindura White Yellow Heart 50/50 Petite Portrait DO FUL</t>
  </si>
  <si>
    <t>TAG Calibrachoa Noa Almond Blossom 100/100 Pixie Tag</t>
  </si>
  <si>
    <t>TAG Calibrachoa Noa Blue Legend 100/100 Pixie Tag</t>
  </si>
  <si>
    <t>TAG Calibrachoa Noa Deep Purple 100/100 Pixie Tag</t>
  </si>
  <si>
    <t>TAG Calibrachoa Noa Dark Pink Carnival 100/100 Pixie Tag</t>
  </si>
  <si>
    <t>TAG Calibrachoa Noa Dark Red 100/100 Pixie Tag</t>
  </si>
  <si>
    <t>TAG Calibrachoa Noa Mega Magenta 100/100 Pixie Tag</t>
  </si>
  <si>
    <t>TAG Calibrachoa Noa Mega Pink 100/100 Pixie Tag</t>
  </si>
  <si>
    <t>TAG Calibrachoa Noa Orange 100/100 Pixie Tag</t>
  </si>
  <si>
    <t>TAG Calibrachoa Noa Papaya 100/100 Pixie Tag</t>
  </si>
  <si>
    <t>TAG Calibrachoa Noa Peach 100/100 Pixie Tag</t>
  </si>
  <si>
    <t>TAG Calibrachoa Noa Pink 100/100 Pixie Tag</t>
  </si>
  <si>
    <t>TAG Calibrachoa Noa Red 100/100 Pixie Tag</t>
  </si>
  <si>
    <t>TAG Calibrachoa Noa Series 100/100 Pixie Tag</t>
  </si>
  <si>
    <t>TAG Calibrachoa Noa Snow 100/100 Pixie Tag</t>
  </si>
  <si>
    <t>TAG Calibrachoa Noa Ultra Purple 100/100 Pixie Tag</t>
  </si>
  <si>
    <t>TAG Calibrachoa Noa Yellow 100/100 Pixie Tag</t>
  </si>
  <si>
    <t>TAG Calibrachoa Ombre Bahama 100/100 Pixie Tag</t>
  </si>
  <si>
    <t>TAG Calibrachoa Ombre Blue 100/100 Pixie Tag</t>
  </si>
  <si>
    <t>TAG Calibrachoa Ombre Blush 100/100 Pixie Tag</t>
  </si>
  <si>
    <t>TAG Calibrachoa Ombre Pink 100/100 Pixie Tag</t>
  </si>
  <si>
    <t>TAG Calibrachoa Ombre Purple 100/100 Pixie Tag</t>
  </si>
  <si>
    <t>TAG Calibrachoa Ombre Sunrise 100/100 Pixie Tag</t>
  </si>
  <si>
    <t>TAG Calibrachoa Ombre Yellow 100/100 Pixie Tag</t>
  </si>
  <si>
    <t>TAG Calibrachoa Pocket Series 100/100 Pixie Tag</t>
  </si>
  <si>
    <t>TAG Calibrachoa Rainbow Bermuda Blue 50/50 Petite Portrait DO FUL</t>
  </si>
  <si>
    <t>TAG Calibrachoa Rainbow Calypso Coral 50/50 Petite Portrait DO FUL</t>
  </si>
  <si>
    <t>TAG Calibrachoa Rainbow Flamingo Flair 50/50 Petite Portrait DO FUL</t>
  </si>
  <si>
    <t>TAG Calibrachoa Rainbow Iced Blueberry 50/50 Petite Portrait DO FUL</t>
  </si>
  <si>
    <t>TAG Calibrachoa Rainbow Maple Sugar 50/50 Petite Portrait DO FUL</t>
  </si>
  <si>
    <t>TAG Calibrachoa Rainbow Orange Oasis 50/50 Petite Portrait DO FUL</t>
  </si>
  <si>
    <t>TAG Calibrachoa Rainbow Pink Paloma 50/50 Petite Portrait DO FUL</t>
  </si>
  <si>
    <t>TAG Calibrachoa Rainbow Parisian Pink 50/50 Petite Portrait DO FUL</t>
  </si>
  <si>
    <t>TAG Calibrachoa Rainbow Pink Blush 50/50 Petite Portrait DO FUL</t>
  </si>
  <si>
    <t>TAG Calibrachoa Rainbow Pink Pepperberry 50/50 Petite Portrait DO FUL</t>
  </si>
  <si>
    <t>TAG Calibrachoa Rainbow Tiger Tail 50/50 Petite Portrait DO FUL</t>
  </si>
  <si>
    <t>TAG Calibrachoa Skywalker 100/100 Pixie Tag</t>
  </si>
  <si>
    <t>TAG Calibrachoa Skywalker 50/50 Petite Portrait DO FUL</t>
  </si>
  <si>
    <t>TAG Calibrachoa TikTok Apricot 50/50 Pixie TAG DO FUL</t>
  </si>
  <si>
    <t>TAG Calibrachoa TikTok Blue 50/50 Petite Portrait DO FUL</t>
  </si>
  <si>
    <t>TAG Calibrachoa TikTok Crystal 50/50 Petite Portrait DO FUL</t>
  </si>
  <si>
    <t>TAG Calibrachoa TikTok Grape 50/50 Petite Portrait DO FUL</t>
  </si>
  <si>
    <t>TAG Calibrachoa TikTok Orange 50/50 Petite Portrait DO FUL</t>
  </si>
  <si>
    <t>TAG Calibrachoa TikTok Pink 50/50 Petite Portrait DO FUL</t>
  </si>
  <si>
    <t>TAG Calibrachoa TikTok Rose 50/50 Petite Portrait DO FUL</t>
  </si>
  <si>
    <t>TAG Calibrachoa TikTok Sky Blue 50/50 Petite Portrait DO FUL</t>
  </si>
  <si>
    <t>TAG Calibrachoa TikTok White 50/50 Petite Portrait DO FUL</t>
  </si>
  <si>
    <t>TAG Calibrachoa Unique Cranberry Punch 100/100 Pixie Tag</t>
  </si>
  <si>
    <t>TAG Calibrachoa Unique Dark Pink 100/100 Pixie Tag</t>
  </si>
  <si>
    <t>TAG Calibrachoa Unique Dark Red 100/100 Pixie Tag</t>
  </si>
  <si>
    <t>TAG Calibrachoa Unique Golden Yellow 100/100 Pixie Tag</t>
  </si>
  <si>
    <t>TAG Calibrachoa Unique Hot Pink 100/100 Pixie Tag</t>
  </si>
  <si>
    <t>TAG Calibrachoa Unique Lavender 100/100 Pixie Tag</t>
  </si>
  <si>
    <t>TAG Calibrachoa Unique Lilac 100/100 Pixie Tag</t>
  </si>
  <si>
    <t>TAG Calibrachoa Unique Mango Punch 100/100 Pixie Tag</t>
  </si>
  <si>
    <t>TAG Calibrachoa Unique Orange 100/100 Pixie Tag</t>
  </si>
  <si>
    <t>TAG Calibrachoa Unique Pink 100/100 Pixie Tag</t>
  </si>
  <si>
    <t>TAG Calibrachoa Unique White 100/100 Pixie Tag</t>
  </si>
  <si>
    <t>TAG Calibrachoa Volcano Gold 50/50 Petite Portrait DO FUL</t>
  </si>
  <si>
    <t>TAG Calibrachoa Volcano Neon 50/50 Petite Portrait DO FUL</t>
  </si>
  <si>
    <t>TAG Calibrachoa Pink Volcano 50/50 Petite Portrait DO FUL</t>
  </si>
  <si>
    <t>TAG Calibrachoa Volcano Sunrise 50/50 Petite Portrait DO FUL</t>
  </si>
  <si>
    <t>TAG Calibrachoa Volcano Sunset 50/50 Petite Portrait DO FUL</t>
  </si>
  <si>
    <t>TAG Callisia Bolivian Jew GENERIC 100/100 Hang Tag</t>
  </si>
  <si>
    <t>TAG Callisia Bolivian Jew GENERIC 100/100 Pixie Tag</t>
  </si>
  <si>
    <t>TAG Callisia Turtle Vine Repens 100/100 Pixie Tag</t>
  </si>
  <si>
    <t>TAG Callis Turtle Vine Pink 100/100 Pixie Tag</t>
  </si>
  <si>
    <t>TAG Calocephalus Cushion Bush GENERIC 100/100 Pixie Tag</t>
  </si>
  <si>
    <t>TAG Calocephalus Silver Stone 100/100 Pixie Tag</t>
  </si>
  <si>
    <t>TAG Calocephalus Whimsy Silver 50/50 Petite Portrait SF FUL</t>
  </si>
  <si>
    <t>TAG Campanula Beyond Blue 50/50 Petite Portrait SF FUL</t>
  </si>
  <si>
    <t>TAG Campanula Birch Hybrid 25/25 Portrait Tag</t>
  </si>
  <si>
    <t>TAG Campanula Medium Blue 100/100 Pixie Tag</t>
  </si>
  <si>
    <t>TAG Campanula Blue Persicifolia 25/25 Portrait Tag</t>
  </si>
  <si>
    <t>TAG Campanula Waterfall Blue 25/25 Portrait Tag</t>
  </si>
  <si>
    <t>TAG Campanula Calycanthema Mix 100/100 Pixie Tag</t>
  </si>
  <si>
    <t>TAG Campanula Calycanthema Mix 25/25 Portrait Tag</t>
  </si>
  <si>
    <t>TAG Campanula Cariboo Blue 25/25 Portrait Tag SF</t>
  </si>
  <si>
    <t>TAG Campanula Cariboo Blue Forte 25/25 Portrait Tag SF</t>
  </si>
  <si>
    <t>TAG Campanula Cariboo Series 25/25 Portrait Tag</t>
  </si>
  <si>
    <t>TAG Campanula Carpathian Harebell GENERIC 25/25 Portrait Tag</t>
  </si>
  <si>
    <t>TAG Campanula Clips Blue 100/100 Pixie Tag</t>
  </si>
  <si>
    <t>TAG Campanula Clips Blue 25/25 Portrait Tag</t>
  </si>
  <si>
    <t>TAG Campanula Clips Deep Blue 100/100 Pixie Tag</t>
  </si>
  <si>
    <t>TAG Campanula Clips Deep Blue 25/25 Portrait Tag</t>
  </si>
  <si>
    <t>TAG Campanula Clips White 100/100 Pixie Tag</t>
  </si>
  <si>
    <t>TAG Campanula Clips White 25/25 Portrait Tag</t>
  </si>
  <si>
    <t>TAG Campanula Clockwise Deep Blue 25/25 Portrait Tag</t>
  </si>
  <si>
    <t>TAG Campanula Clockwise White 25/25 Portrait Tag</t>
  </si>
  <si>
    <t>TAG Campanula Dicksons Gold 25/25 Portrait Tag</t>
  </si>
  <si>
    <t>TAG Campanula Genti Blue 25/25 Portrait Tag</t>
  </si>
  <si>
    <t>TAG Campanula Mixed Canterbury Bells Medium 100/100 Pixie Tag</t>
  </si>
  <si>
    <t>TAG Campanula Pearl Deep Blue 100/100 Pixie Tag</t>
  </si>
  <si>
    <t>TAG Campanula Pearl Deep Blue 25/25 Portrait Tag</t>
  </si>
  <si>
    <t>TAG Campanula Pearl White 100/100 Pixie Tag</t>
  </si>
  <si>
    <t>TAG Campanula Pearl White 25/25 Portrait Tag</t>
  </si>
  <si>
    <t>TAG Campanula Campanella Pink 100/100 Pixie Tag</t>
  </si>
  <si>
    <t>TAG Campanula Poscharskyana 25/25 Portrait Tag</t>
  </si>
  <si>
    <t>TAG Campanula Pristar Deep Blue 25/25 Portrait Tag</t>
  </si>
  <si>
    <t>TAG Campanula Pristar Light Blue 25/25 Portrait Tag SF</t>
  </si>
  <si>
    <t>TAG Campanula Pristar White 25/25 Portrait Tag SF</t>
  </si>
  <si>
    <t>TAG Campanula Rapido Blue 100/100 Pixie Tag</t>
  </si>
  <si>
    <t>TAG Campanula Rapido Blue 25/25 Portrait Tag</t>
  </si>
  <si>
    <t>TAG Campanula Rapido White 100/100 Pixie Tag</t>
  </si>
  <si>
    <t>TAG Campanula Rapido White 25/25 Portrait Tag</t>
  </si>
  <si>
    <t>TAG Campanula Rotundifolia 25/25 Portrait Tag</t>
  </si>
  <si>
    <t>TAG Campanula Campanella Series 100/100 Pixie Tag</t>
  </si>
  <si>
    <t>TAG Campanula Spring Bell 2.0 Blue 25/25 Portrait Tag SF</t>
  </si>
  <si>
    <t>TAG Campanula Spring Bell 2.0 Blue 50/50 Petite Portrait SF FUL</t>
  </si>
  <si>
    <t>TAG Campanula Spring Bell 2.0 Dark Blue 25/25 Portrait Tag SF</t>
  </si>
  <si>
    <t>TAG Campanula Spring Bell 2.0 Dark Blue 50/50 Petite Portrait SF FUL</t>
  </si>
  <si>
    <t>TAG Campanula Spring Bell 2.0 White 25/25 Portrait Tag SF</t>
  </si>
  <si>
    <t>TAG Campanula Spring Bell 2.0 White 50/50 Petite Portrait SF FUL</t>
  </si>
  <si>
    <t>TAG Campanula Superba Glomerata 25/25 Portrait Tag</t>
  </si>
  <si>
    <t>TAG Campanula Takion Blue 25/25 Portrait Tag</t>
  </si>
  <si>
    <t>TAG Campanula Takion White 25/25 Portrait Tag</t>
  </si>
  <si>
    <t>TAG Canna Cannova Bronze Leaf Scarlet 25/25 Portrait Tag</t>
  </si>
  <si>
    <t>TAG Canna Cannova Bronze Orange 100/100 Pixie Tag</t>
  </si>
  <si>
    <t>TAG Canna Cannova Bronze Peach 100/100 Pixie Tag</t>
  </si>
  <si>
    <t>TAG Canna Cannova Bronze Leaf Scarlet 100/100 Pixie Tag</t>
  </si>
  <si>
    <t>TAG Canna Cannova Lemon 100/100 Pixie Tag</t>
  </si>
  <si>
    <t>TAG Canna Cannova Mango 100/100 Pixie Tag</t>
  </si>
  <si>
    <t>TAG Canna Cannova Orange Shades 100/100 Pixie Tag</t>
  </si>
  <si>
    <t>TAG Canna Cannova Red Flame 100/100 Pixie Tag</t>
  </si>
  <si>
    <t>TAG Canna Cannova Red Golden Flame 100/100 Pixie Tag</t>
  </si>
  <si>
    <t>TAG Canna Cannova Red Shades 100/100 Pixie Tag</t>
  </si>
  <si>
    <t>TAG Canna Cannova Red Shades 25/25 Portrait Tag</t>
  </si>
  <si>
    <t>TAG Canna Cannova Rose 100/100 Pixie Tag</t>
  </si>
  <si>
    <t>TAG Canna Cannova Rose Dark Bud 100/100 Pixie Tag</t>
  </si>
  <si>
    <t>TAG Canna Cannova Scarlet 100/100 Pixie Tag</t>
  </si>
  <si>
    <t>TAG Canna Cannova Yellow 100/100 Pixie Tag</t>
  </si>
  <si>
    <t>TAG Canna Cannova Yellow 25/25 Portrait Tag</t>
  </si>
  <si>
    <t>TAG Canna GENERIC 100/100 Pixie Tag</t>
  </si>
  <si>
    <t>TAG Canna GENERIC 25/25 Portrait Tag</t>
  </si>
  <si>
    <t>TAG Canna Pretoria 100/100 Pixie Tag</t>
  </si>
  <si>
    <t>TAG Canna South Pacific Ivory 100/100 Pixie Tag</t>
  </si>
  <si>
    <t>TAG Canna South Pacific Orange 100/100 Pixie Tag</t>
  </si>
  <si>
    <t>TAG Canna South Pacific Rose 100/100 Pixie Tag</t>
  </si>
  <si>
    <t>TAG Canna South Pacific Scarlet 100/100 Pixie Tag</t>
  </si>
  <si>
    <t>TAG Canna Tropical Bronze Scarlet 100/100 Pixie Tag</t>
  </si>
  <si>
    <t>TAG Canna Tropical Red 100/100 Pixie Tag</t>
  </si>
  <si>
    <t>TAG Canna Tropical Rose 100/100 Pixie Tag</t>
  </si>
  <si>
    <t>TAG Canna Tropical Salmon 100/100 Pixie Tag</t>
  </si>
  <si>
    <t>TAG Canna Tropical White 100/100 Pixie Tag</t>
  </si>
  <si>
    <t>TAG Canna Tropical Yellow 100/100 Pixie Tag</t>
  </si>
  <si>
    <t>TAG Carex Amazon Mist 25/25 Portrait Tag</t>
  </si>
  <si>
    <t>TAG Carex Bronco 25/25 Portrait Tag</t>
  </si>
  <si>
    <t>TAG Carex Evergold 25/25 Portrait Tag</t>
  </si>
  <si>
    <t>TAG Carex Ice Dance 25/25 Portrait Tag</t>
  </si>
  <si>
    <t>TAG Carex Pensylvanica 25/25 Portrait Tag</t>
  </si>
  <si>
    <t>TAG Carex Phoenix Green 25/25 Portrait Tag</t>
  </si>
  <si>
    <t>TAG Carex Red Rooster 25/25 Portrait Tag</t>
  </si>
  <si>
    <t>TAG Carrot GENERIC 100/100 Pixie Tag</t>
  </si>
  <si>
    <t>TAG Carrot Harlequin Mix 100/100 Pixie Tag</t>
  </si>
  <si>
    <t>TAG Carrot Rainbow Colors GENERIC 100/100 Pixie Tag</t>
  </si>
  <si>
    <t>TAG Caraway 100/100 Pixie Tag</t>
  </si>
  <si>
    <t>TAG Caryopteris Blue Cloud 25/25 Portrait Tag</t>
  </si>
  <si>
    <t>TAG Caryopteris Dark Knight 100/100 Pixie Tag DO FUL</t>
  </si>
  <si>
    <t>TAG Caryopteris Dark Knight 25/25 Portrait Tag</t>
  </si>
  <si>
    <t>TAG Caryopteris Emerald Crest 25/25 Portrait Tag</t>
  </si>
  <si>
    <t>TAG Caryopteris Gold Crest 100/100 Pixie Tag DO FUL</t>
  </si>
  <si>
    <t>TAG Caryopteris Gold Crest 25/25 Portrait Tag</t>
  </si>
  <si>
    <t>TAG Caryopteris Pavilion Blue 25/25 Portrait Tag</t>
  </si>
  <si>
    <t>TAG Caryopteris Pavilion Pink 25/25 Portrait Tag</t>
  </si>
  <si>
    <t>TAG Caryopteris Pavilion White 25/25 Portrait Tag</t>
  </si>
  <si>
    <t>TAG Catananche Amor Blue 25/25 Portrait Tag</t>
  </si>
  <si>
    <t>TAG Catananche Blue Caerulea 100/100 Pixie Tag</t>
  </si>
  <si>
    <t>TAG Catananche Blue Caerulea 25/25 Portrait Tag</t>
  </si>
  <si>
    <t>TAG Cauliflower Amazing 100/100 Pixie Tag</t>
  </si>
  <si>
    <t>TAG Cauliflower Candid Charm 100/100 Pixie Tag</t>
  </si>
  <si>
    <t>TAG Cauliflower Cheddar 100/100 Pixie Tag</t>
  </si>
  <si>
    <t>TAG Cauliflower Early Snowball 100/100 Pixie Tag</t>
  </si>
  <si>
    <t>TAG Cauliflower Flame Star 100/100 Pixie Tag</t>
  </si>
  <si>
    <t>TAG Cauliflower GENERIC 100/100 Pixie Tag</t>
  </si>
  <si>
    <t>TAG Cauliflower GENERIC 200/200 Thriftee Tag</t>
  </si>
  <si>
    <t>TAG Cauliflower Graffiti 100/100 Pixie Tag</t>
  </si>
  <si>
    <t>TAG Cauliflower Orange GENERIC 100/100 Pixie Tag</t>
  </si>
  <si>
    <t>TAG Cauliflower Self Blanche 100/100 Pixie Tag</t>
  </si>
  <si>
    <t>TAG Cauliflower Snow Crown 100/100 Pixie Tag</t>
  </si>
  <si>
    <t>TAG Cauliflower Snowball 100/100 Pixie Tag</t>
  </si>
  <si>
    <t>TAG Cauliflower Steady 100/100 Pixie Tag</t>
  </si>
  <si>
    <t>TAG Cauliflower Twister 100/100 Pixie Tag</t>
  </si>
  <si>
    <t>TAG Celeriac 100/100 Pixie Tag</t>
  </si>
  <si>
    <t>TAG Celery Giant Pascal 100/100 Pixie Tag</t>
  </si>
  <si>
    <t>TAG Celery Golden Self Blanching 100/100 Pixie Tag</t>
  </si>
  <si>
    <t>TAG Celery GENERIC 100/100 Pixie Tag</t>
  </si>
  <si>
    <t>TAG Celery Self Blanching 100/100 Pixie Tag</t>
  </si>
  <si>
    <t>TAG Celery Summer Pascal 100/100 Pixie Tag</t>
  </si>
  <si>
    <t>TAG Celery Utah 52 70 R 100/100 Pixie Tag</t>
  </si>
  <si>
    <t>TAG Celosia Amigo Mix 100/100 Pixie Tag</t>
  </si>
  <si>
    <t>TAG Celosia Amigo Red 100/100 Pixie Tag</t>
  </si>
  <si>
    <t>TAG Celosia Asian Garden 100/100 Pixie Tag</t>
  </si>
  <si>
    <t>TAG Celosia Brainiac Lightning Yellow 100/100 Pixie Tag</t>
  </si>
  <si>
    <t>TAG Celosia Brainiac Mad Magenta 100/100 Pixie Tag</t>
  </si>
  <si>
    <t>TAG Celosia Brainiac Mix 100/100 Pixie Tag</t>
  </si>
  <si>
    <t>TAG Celosia Brainiac Raven Red 100/100 Pixie Tag</t>
  </si>
  <si>
    <t>TAG Celosia Brainiac Robo Red 100/100 Pixie Tag</t>
  </si>
  <si>
    <t>TAG Celosia Brainiac Think Pink 100/100 Pixie Tag</t>
  </si>
  <si>
    <t>TAG Celosia Bright Sparks Bright Red Bronze Leaf 100/100 Pixie Tag</t>
  </si>
  <si>
    <t>TAG Celosia Bright Sparks Burgundy 100/100 Pixie Tag SF</t>
  </si>
  <si>
    <t>TAG Celosia Bright Sparks Mix 100/100 Pixie Tag SF</t>
  </si>
  <si>
    <t>TAG Celosia Bright Sparks Pink 100/100 Pixie Tag</t>
  </si>
  <si>
    <t>TAG Celosia Bright Sparks Scarlet 100/100 Pixie Tag SF</t>
  </si>
  <si>
    <t>TAG Celosia Sprks Bright Yellow 100/100 Pixie Tag SF</t>
  </si>
  <si>
    <t>TAG Celosia Burning Embers 100/100 Pixie Tag</t>
  </si>
  <si>
    <t>TAG Celosia Castle Mix 100/100 Pixie Tag</t>
  </si>
  <si>
    <t>TAG Celosia Castle Orange 100/100 Pixie Tag</t>
  </si>
  <si>
    <t>TAG Celosia Castle Pink 100/100 Pixie Tag</t>
  </si>
  <si>
    <t>TAG Celosia Castle Scarlet 100/100 Pixie Tag</t>
  </si>
  <si>
    <t>TAG Celosia Castle Yellow 100/100 Pixie Tag</t>
  </si>
  <si>
    <t>TAG Celosia Century Fire 100/100 Pixie Tag</t>
  </si>
  <si>
    <t>TAG Celosia Century Mix 100/100 Pixie Tag</t>
  </si>
  <si>
    <t>TAG Celosia Century Pink 100/100 Pixie Tag</t>
  </si>
  <si>
    <t>TAG Celosia Century Red 100/100 Pixie Tag</t>
  </si>
  <si>
    <t>TAG Celosia Century Rose 100/100 Pixie Tag</t>
  </si>
  <si>
    <t>TAG Celosia Century Yellow 100/100 Pixie Tag</t>
  </si>
  <si>
    <t>TAG Celosia Chief Mix 100/100 Pixie Tag</t>
  </si>
  <si>
    <t>TAG Celosia Concertina Mix 100/100 Pixie Tag</t>
  </si>
  <si>
    <t>TAG Celosia Concertina Pink 100/100 Pixie Tag</t>
  </si>
  <si>
    <t>TAG Celosia Concertina Purple 100/100 Pixie Tag</t>
  </si>
  <si>
    <t>TAG Celosia Concertina Red 100/100 Pixie Tag</t>
  </si>
  <si>
    <t>TAG Celosia Concertina Red Dark Leaf 100/100 Pixie Tag</t>
  </si>
  <si>
    <t>TAG Celosia Concertina Yellow 100/100 Pixie Tag</t>
  </si>
  <si>
    <t>TAG Celosia Crested GENERIC 100/100 Pixie Tag</t>
  </si>
  <si>
    <t>TAG Celosia Dracula 100/100 Pixie Tag</t>
  </si>
  <si>
    <t>TAG Celosia Dragon's Breath 100/100 Pixie Tag</t>
  </si>
  <si>
    <t>TAG Celosia Dragon's Breath 25/25 Portrait Tag</t>
  </si>
  <si>
    <t>TAG Celosia Fashion Look Mix 100/100 Pixie Tag</t>
  </si>
  <si>
    <t>TAG Celosia First Flame Mix 100/100 Pixie Tag</t>
  </si>
  <si>
    <t>TAG Celosia First Flame Orange 100/100 Pixie Tag</t>
  </si>
  <si>
    <t>TAG Celosia First Flame Purple 100/100 Pixie Tag</t>
  </si>
  <si>
    <t>TAG Celosia First Flame Red 100/100 Pixie Tag</t>
  </si>
  <si>
    <t>TAG Celosia First Flame Scarlet 100/100 Pixie Tag</t>
  </si>
  <si>
    <t>TAG Celosia First Flame Yellow 100/100 Pixie Tag</t>
  </si>
  <si>
    <t>TAG Celosia Flamingo Feather 100/100 Pixie Tag</t>
  </si>
  <si>
    <t>TAG Celosia Flamingo Feather Purple 100/100 Pixie Tag</t>
  </si>
  <si>
    <t>TAG Celosia Flamma Bright Red 100/100 Pixie Tag</t>
  </si>
  <si>
    <t>TAG Celosia Flamma Golden 100/100 Pixie Tag</t>
  </si>
  <si>
    <t>TAG Celosia Flamma Mix 100/100 Pixie Tag</t>
  </si>
  <si>
    <t>TAG Celosia Flamma Orange 100/100 Pixie Tag</t>
  </si>
  <si>
    <t>TAG Celosia Flamma Red 100/100 Pixie Tag</t>
  </si>
  <si>
    <t>TAG Celosia Flamma Rose 100/100 Pixie Tag</t>
  </si>
  <si>
    <t>TAG Celosia Fresh Look Gold 100/100 Pixie Tag</t>
  </si>
  <si>
    <t>TAG Celosia Fresh Look Mix 100/100 Pixie Tag</t>
  </si>
  <si>
    <t>TAG Celosia Fresh Look Orange 100/100 Pixie Tag</t>
  </si>
  <si>
    <t>TAG Celosia Fresh Look Red 100/100 Pixie Tag</t>
  </si>
  <si>
    <t>TAG Celosia Fresh Look Yellow 100/100 Pixie Tag</t>
  </si>
  <si>
    <t>TAG Celosia Gloria Mix 100/100 Pixie Tag</t>
  </si>
  <si>
    <t>TAG Celosia Glorious Mix 100/100 Pixie Tag</t>
  </si>
  <si>
    <t>TAG Celosia Glorious Orange 100/100 Pixie Tag</t>
  </si>
  <si>
    <t>TAG Celosia Glorious Pink 100/100 Pixie Tag</t>
  </si>
  <si>
    <t>TAG Celosia Glorious Red 100/100 Pixie Tag</t>
  </si>
  <si>
    <t>TAG Celosia Glorious Yellow 100/100 Pixie Tag</t>
  </si>
  <si>
    <t>TAG Celosia Bilingual GENERIC 100/100 Pixie Tag</t>
  </si>
  <si>
    <t>TAG Celosia Ice Cream Banana 100/100 Pixie Tag</t>
  </si>
  <si>
    <t>TAG Celosia Ice Cream Cherry 100/100 Pixie Tag</t>
  </si>
  <si>
    <t>TAG Celosia Ice Cream Mango 100/100 Pixie Tag</t>
  </si>
  <si>
    <t>TAG Celosia Ice Cream Mix 100/100 Pixie Tag</t>
  </si>
  <si>
    <t>TAG Celosia Ice Cream Orange 100/100 Pixie Tag</t>
  </si>
  <si>
    <t>TAG Celosia Ice Cream Salmon 100/100 Pixie Tag</t>
  </si>
  <si>
    <t>TAG Celosia Intenz Dark Purple 100/100 Pixie Tag</t>
  </si>
  <si>
    <t>TAG Celosia Intenz Pink 100/100 Pixie Tag</t>
  </si>
  <si>
    <t>TAG Celosia Intenz Series 100/100 Pixie Tag</t>
  </si>
  <si>
    <t>TAG Celosia Jewel Box Mix 100/100 Pixie Tag</t>
  </si>
  <si>
    <t>TAG Celosia Kelos Candela Pink 100/100 Pixie Tag</t>
  </si>
  <si>
    <t>TAG Celosia Kelos Series 100/100 Pixie Tag</t>
  </si>
  <si>
    <t>TAG Celosia Kimono Cherry Red 100/100 Pixie Tag</t>
  </si>
  <si>
    <t>TAG Celosia Kimono Mix 100/100 Pixie Tag</t>
  </si>
  <si>
    <t>TAG Celosia Kimono Orange 100/100 Pixie Tag</t>
  </si>
  <si>
    <t>TAG Celosia Kimono Red 100/100 Pixie Tag</t>
  </si>
  <si>
    <t>TAG Celosia Kimono Rose 100/100 Pixie Tag</t>
  </si>
  <si>
    <t>TAG Celosia Kimono Salmon Pink 100/100 Pixie Tag</t>
  </si>
  <si>
    <t>TAG Celosia Kimono Scarlet 100/100 Pixie Tag</t>
  </si>
  <si>
    <t>TAG Celosia Kimono Yellow 100/100 Pixie Tag</t>
  </si>
  <si>
    <t>TAG Celosia Kosmo Cherry 100/100 Pixie Tag</t>
  </si>
  <si>
    <t>TAG Celosia Kosmo Mix 100/100 Pixie Tag</t>
  </si>
  <si>
    <t>TAG Celosia Kosmo Orange 100/100 Pixie Tag</t>
  </si>
  <si>
    <t>TAG Celosia Kosmo Purple Red 100/100 Pixie Tag</t>
  </si>
  <si>
    <t>TAG Celosia Look 100/100 Pixie Tag</t>
  </si>
  <si>
    <t>TAG Celosia Mix Plumosa GENERIC 100/100 Pixie Tag</t>
  </si>
  <si>
    <t>TAG Celosia Prestige Scarlet 100/100 Pixie Tag</t>
  </si>
  <si>
    <t>TAG Celosia Red Plumosa GENERIC 100/100 Pixie Tag</t>
  </si>
  <si>
    <t>TAG Celosia Short GENERIC 100/100 Pixie Tag</t>
  </si>
  <si>
    <t>TAG Celosia Smart Look Red 100/100 Pixie Tag</t>
  </si>
  <si>
    <t>TAG Celosia Smart Look Romantica 100/100 Pixie Tag</t>
  </si>
  <si>
    <t>TAG Celosia Sol Gekko Green 100/100 Pixie Tag</t>
  </si>
  <si>
    <t>TAG Celosia Sol Lizzard Leaf 100/100 Pixie Tag</t>
  </si>
  <si>
    <t>TAG Celosia Tall Crested GENERIC 100/100 Pixie Tag</t>
  </si>
  <si>
    <t>TAG Centaurea Amethyst Dream 25/25 Portrait Tag</t>
  </si>
  <si>
    <t>TAG Centaurea Amethyst In Snow 25/25 Portrait Tag</t>
  </si>
  <si>
    <t>TAG Centaurea Bachelor's Button GENERIC 100/100 Pixie Tag</t>
  </si>
  <si>
    <t>TAG Centaurea Blue Boy 100/100 Pixie Tag</t>
  </si>
  <si>
    <t>TAG Centaurea Blue Montana 100/100 Pixie Tag</t>
  </si>
  <si>
    <t>TAG Centaurea Blue Montana 25/25 Portrait Tag</t>
  </si>
  <si>
    <t>TAG Centaurea Chrome Fountain 100/100 Pixie Tag</t>
  </si>
  <si>
    <t>TAG Centaurea Chrome Fountain 50/50 Petite Portrait DO FUL</t>
  </si>
  <si>
    <t>TAG Centaurea Dealbata 25/25 Portrait Tag</t>
  </si>
  <si>
    <t>TAG Centaurea Mercury 100/100 Pixie Tag</t>
  </si>
  <si>
    <t>TAG Centaurea Silver Swirl 25/25 Portrait Tag</t>
  </si>
  <si>
    <t>TAG Centranthus Albus 100/100 Pixie Tag</t>
  </si>
  <si>
    <t>TAG Centranthus Cascade 100/100 Pixie Tag</t>
  </si>
  <si>
    <t>TAG Centranthus Coccineus 25/25 Portrait Tag</t>
  </si>
  <si>
    <t>TAG Centranthus Ruber 25/25 Portrait Tag</t>
  </si>
  <si>
    <t>TAG Cerastium Silver Carpet 25/25 Portrait Tag</t>
  </si>
  <si>
    <t>TAG Cerastium Silvery Summer 25/25 Portrait Tag</t>
  </si>
  <si>
    <t>TAG Cerastium Tomentosum 100/100 Pixie Tag</t>
  </si>
  <si>
    <t>TAG Cerastium Tomentosum 25/25 Portrait Tag</t>
  </si>
  <si>
    <t>TAG Ceratostigma Plumbaginoides 100/100 Pixie Tag DO FUL</t>
  </si>
  <si>
    <t>TAG Ceratostigma Plumbaginoides 25/25 Portrait Tag</t>
  </si>
  <si>
    <t>TAG Ceratostigma Plumbaginoides 50/50 Petite Portrait SF FUL</t>
  </si>
  <si>
    <t>TAG Ceropegia String Of Hearts Woodii 100/100 Pixie Tag</t>
  </si>
  <si>
    <t>TAG Chamaecyparis Bella Palm 100/100 Pixie Tag</t>
  </si>
  <si>
    <t>TAG Chamaecyparis Roman 25/25 Portrait Tag</t>
  </si>
  <si>
    <t>TAG Chamaecyparis Star Dust White Sparkle 50/50 Petite Portrait DO FUL</t>
  </si>
  <si>
    <t>TAG Chamomile GENERIC 100/100 Pixie Tag</t>
  </si>
  <si>
    <t>TAG Chamomile German 100/100 Pixie Tag</t>
  </si>
  <si>
    <t>TAG Chamomile German 25/25 Portrait Tag</t>
  </si>
  <si>
    <t>TAG Chamomile Roman 100/100 Pixie Tag</t>
  </si>
  <si>
    <t>TAG Chasmanthium Latifolium 25/25 Portrait Tag</t>
  </si>
  <si>
    <t>TAG Chelone Hot Lips Lyonii 25/25 Portrait Tag</t>
  </si>
  <si>
    <t>TAG Chelone Pink Temptation Lyonii 25/25 Portrait Tag</t>
  </si>
  <si>
    <t>TAG Chelone Tiny Tortuga 50/50 Petite Portrait DO FUL</t>
  </si>
  <si>
    <t>TAG Chlorophytum Bonnie 100/100 Pixie Tag</t>
  </si>
  <si>
    <t>TAG Chlorophytum Green 100/100 Pixie Tag</t>
  </si>
  <si>
    <t>TAG Chlorophytum Picturatum 100/100 Hang Tag</t>
  </si>
  <si>
    <t>TAG Chlorophytum Variegated 100/100 Hang Tag</t>
  </si>
  <si>
    <t>TAG Chlorophytum Variegated 100/100 Pixie Tag</t>
  </si>
  <si>
    <t>TAG Chrysanthemum 24Karamum Bronze 50/50 Petite Portrait DO FUL</t>
  </si>
  <si>
    <t>TAG Chrysanthemum 24Karamum Gold 50/50 Petite Portrait DO FUL</t>
  </si>
  <si>
    <t>TAG Chrysanthemum Addison White 100/100 Pixie Tag SF</t>
  </si>
  <si>
    <t>TAG Chrysanthemum Addison White 50/50 Pixie Tag SF FUL</t>
  </si>
  <si>
    <t>TAG Chrysanthemum Adelle 50/50 Pixie Tag SF FUL</t>
  </si>
  <si>
    <t>TAG Chrysanthemum Adriana Purple 100/100 Pixie Tag SF</t>
  </si>
  <si>
    <t>TAG Chrysanthemum Adriana Purple 50/50 Pixie Tag SF FUL</t>
  </si>
  <si>
    <t>TAG Chrysanthemum Aideen Red Fire 100/100 Pixie Tag SF</t>
  </si>
  <si>
    <t>TAG Chrysanthemum Aideen Red Fire 50/50 Pixie Tag SF FUL</t>
  </si>
  <si>
    <t>TAG Chrysanthemum Alexa White 50/50 Pixie Tag SF FUL</t>
  </si>
  <si>
    <t>TAG Chrysanthemum Apple Cider 50/50 Petite Portrait DO FUL</t>
  </si>
  <si>
    <t>TAG Chrysanthemum Arlette Purple 100/100 Pixie Tag DO</t>
  </si>
  <si>
    <t>TAG Chrysanthemum Arlette Purple 50/50 Pixie Tag SF FUL</t>
  </si>
  <si>
    <t>TAG Chrysanthemum Ashley Red 100/100 Pixie Tag DO</t>
  </si>
  <si>
    <t>TAG Chrysanthemum Ashley Red 50/50 Pixie Tag SF FUL</t>
  </si>
  <si>
    <t>TAG Chrysanthemum Aubrey Orange 100/100 Pixie Tag DO</t>
  </si>
  <si>
    <t>TAG Chrysanthemum Aubrey Orange 50/50 Pixie Tag SF FUL</t>
  </si>
  <si>
    <t>TAG Chrysanthemum Autumn Sunset 100/100 Pixie Tag DO</t>
  </si>
  <si>
    <t>TAG Chrysanthemum Autumn Sunset 50/50 Pixie Tag SF FUL</t>
  </si>
  <si>
    <t>TAG Chrysanthemum Balance Bronze Bicolor 50/50 Petite Portrait DO FUL</t>
  </si>
  <si>
    <t>TAG Chrysanthemum Banquet Pink Bicolor 50/50 Petite Portrait DO FUL</t>
  </si>
  <si>
    <t>TAG Chrysanthemum Banquet Purple 50/50 Petite Portrait DO FUL</t>
  </si>
  <si>
    <t>TAG Chrysanthemum Banquet Red Bicolor 50/50 Petite Portrait DO FUL</t>
  </si>
  <si>
    <t>TAG Chrysanthemum Beach Yellow 50/50 Petite Portrait DO FUL</t>
  </si>
  <si>
    <t>TAG Chrysanthemum Beatrice Orange 100/100 Pixie Tag SF</t>
  </si>
  <si>
    <t>TAG Chrysanthemum Beatrice Orange 50/50 Pixie Tag SF FUL</t>
  </si>
  <si>
    <t>TAG Chrysanthemum Berry Blast Bicolor 50/50 Petite Portrait DO FUL</t>
  </si>
  <si>
    <t>TAG Chrysanthemum Bertha White 100/100 Pixie Tag SF</t>
  </si>
  <si>
    <t>TAG Chrysanthemum Bertha White 50/50 Pixie Tag SF FUL</t>
  </si>
  <si>
    <t>TAG Chrysanthemum Bethany Yellow 100/100 Pixie Tag SF</t>
  </si>
  <si>
    <t>TAG Chrysanthemum Bethany Yellow 50/50 Pixie Tag SF FUL</t>
  </si>
  <si>
    <t>TAG Chrysanthemum Beverly Bronze 100/100 Pixie Tag SF</t>
  </si>
  <si>
    <t>TAG Chrysanthemum Beverly Bronze 50/50 Pixie Tag SF FUL</t>
  </si>
  <si>
    <t>TAG Chrysanthemum Beverly Dark Bronze 100/100 Pixie Tag SF</t>
  </si>
  <si>
    <t>TAG Chrysanthemum Beverly Dark Bronze 50/50 Pixie Tag SF FUL</t>
  </si>
  <si>
    <t>TAG Chrysanthemum Beverly Gold 100/100 Pixie Tag SF</t>
  </si>
  <si>
    <t>TAG Chrysanthemum Beverly Gold 50/50 Pixie Tag SF FUL</t>
  </si>
  <si>
    <t>TAG Chrysanthemum Beverly Orange 100/100 Pixie Tag SF</t>
  </si>
  <si>
    <t>TAG Chrysanthemum Beverly Orange 50/50 Pixie Tag SF FUL</t>
  </si>
  <si>
    <t>TAG Chrysanthemum Bliss White 50/50 Petite Portrait DO FUL</t>
  </si>
  <si>
    <t>TAG Chrysanthemum Blitz Lemon 50/50 Petite Portrait DO FUL</t>
  </si>
  <si>
    <t>TAG Chrysanthemum Bloomfield Yellow 50/50 Pixie Tag SF FUL</t>
  </si>
  <si>
    <t>TAG Chrysanthemum Blush Apricot 50/50 Pixie Tag SF FUL</t>
  </si>
  <si>
    <t>TAG Chrysanthemum Blush Dark Pink 50/50 Pixie Tag SF FUL</t>
  </si>
  <si>
    <t>TAG Chrysanthemum Blush Sunny 50/50 Pixie Tag SF FUL</t>
  </si>
  <si>
    <t>TAG Chrysanthemum Blush White 50/50 Pixie Tag SF FUL</t>
  </si>
  <si>
    <t>TAG Chrysanthemum Bonnie Red 100/100 Pixie Tag SF</t>
  </si>
  <si>
    <t>TAG Chrysanthemum Bonnie Red 50/50 Pixie Tag SF FUL</t>
  </si>
  <si>
    <t>TAG Chrysanthemum Brittany Yellow 100/100 Pixie Tag SF</t>
  </si>
  <si>
    <t>TAG Chrysanthemum Brittany Yellow 50/50 Pixie Tag SF FUL</t>
  </si>
  <si>
    <t>TAG Chrysanthemum Bronze/Orange GENERIC 100/100 Pixie Tag</t>
  </si>
  <si>
    <t>TAG Chrysanthemum Bronze/Orange LK6044 100/100 Pixie Tag</t>
  </si>
  <si>
    <t>TAG Chrysanthemum Brooke Dark Pink 50/50 Pixie Tag SF FUL</t>
  </si>
  <si>
    <t>TAG Chrysanthemum Buzz Lavender 50/50 Petite Portrait DO FUL</t>
  </si>
  <si>
    <t>TAG Chrysanthemum Buzz Merlot 50/50 Petite Portrait DO FUL</t>
  </si>
  <si>
    <t>TAG Chrysanthemum Calm White 50/50 Petite Portrait DO FUL</t>
  </si>
  <si>
    <t>TAG Chrysanthemum Catch Red 50/50 Petite Portrait DO FUL</t>
  </si>
  <si>
    <t>TAG Chrysanthemum Ceremony White 50/50 Petite Portrait DO FUL</t>
  </si>
  <si>
    <t>TAG Chrysanthemum Champagne 50/50 Petite Portrait DO FUL</t>
  </si>
  <si>
    <t>TAG Chrysanthemum Chatham Dark Pink 50/50 Pixie Tag SF FUL</t>
  </si>
  <si>
    <t>TAG Chrysanthemum Cheer Red 50/50 Petite Portrait DO FUL</t>
  </si>
  <si>
    <t>TAG Chrysanthemum Chelsey Coral 100/100 Pixie Tag SF</t>
  </si>
  <si>
    <t>TAG Chrysanthemum Chelsey Coral 50/50 Pixie Tag SF FUL</t>
  </si>
  <si>
    <t>TAG Chrysanthemum Chelsey Pink 100/100 Pixie Tag SF</t>
  </si>
  <si>
    <t>TAG Chrysanthemum Chelsey Pink 50/50 Pixie Tag SF FUL</t>
  </si>
  <si>
    <t>TAG Chrysanthemum Chelsey White 100/100 Pixie Tag SF</t>
  </si>
  <si>
    <t>TAG Chrysanthemum Chelsey White 50/50 Pixie Tag SF FUL</t>
  </si>
  <si>
    <t>TAG Chrysanthemum Chelsey Yellow 100/100 Pixie Tag SF</t>
  </si>
  <si>
    <t>TAG Chrysanthemum Chelsey Yellow 50/50 Pixie Tag SF FUL</t>
  </si>
  <si>
    <t>TAG Chrysanthemum Cherry Purple 50/50 Petite Portrait DO FUL</t>
  </si>
  <si>
    <t>TAG Chrysanthemum Cherry Red 50/50 Petite Portrait DO FUL</t>
  </si>
  <si>
    <t>TAG Chrysanthemum Cheryl Frosty 100/100 Pixie Tag SF</t>
  </si>
  <si>
    <t>TAG Chrysanthemum Cheryl Frosty White 50/50 Pixie Tag SF FUL</t>
  </si>
  <si>
    <t>TAG Chrysanthemum Cheryl Golden 100/100 Pixie Tag SF</t>
  </si>
  <si>
    <t>TAG Chrysanthemum Cheryl Golden 50/50 Pixie Tag SF FUL</t>
  </si>
  <si>
    <t>TAG Chrysanthemum Cheryl Red Jolly 100/100 Pixie Tag SF</t>
  </si>
  <si>
    <t>TAG Chrysanthemum Cheryl Jolly Red 50/50 Pixie Tag SF FUL</t>
  </si>
  <si>
    <t>TAG Chrysanthemum Cheryl Pink 100/100 Pixie Tag SF</t>
  </si>
  <si>
    <t>TAG Chrysanthemum Cheryl Pink Improved 50/50 Pixie Tag SF FUL</t>
  </si>
  <si>
    <t>TAG Chrysanthemum Cheryl Purple Regal 100/100 Pixie Tag SF</t>
  </si>
  <si>
    <t>TAG Chrysanthemum Cheryl Regal Purple 50/50 Pixie Tag SF FUL</t>
  </si>
  <si>
    <t>TAG Chrysanthemum Cheryl Yellow Sparkling 100/100 Pixie Tag SF</t>
  </si>
  <si>
    <t>TAG Chrysanthemum Cheryl Sparkling Yellow 50/50 Pixie Tag SF FUL</t>
  </si>
  <si>
    <t>TAG Chrysanthemum Cheryl Orange Spicy 100/100 Pixie Tag SF</t>
  </si>
  <si>
    <t>TAG Chrysanthemum Cheryl Spicy Orange 50/50 Pixie Tag SF FUL</t>
  </si>
  <si>
    <t>TAG Chrysanthemum Chili Red 50/50 Petite Portrait DO FUL</t>
  </si>
  <si>
    <t>TAG Chrysanthemum Chloe Yellow 100/100 Pixie Tag SF</t>
  </si>
  <si>
    <t>TAG Chrysanthemum Chloe Yellow 50/50 Pixie Tag SF FUL</t>
  </si>
  <si>
    <t>TAG Chrysanthemum Chowchilla Yellow 50/50 Pixie Tag SF FUL</t>
  </si>
  <si>
    <t>TAG Chrysanthemum Christina Red 100/100 Pixie Tag SF</t>
  </si>
  <si>
    <t>TAG Chrysanthemum Christina Red 50/50 Pixie Tag SF FUL</t>
  </si>
  <si>
    <t>TAG Chrysanthemum Coleostephus Myconis 100/100 Pixie Tag</t>
  </si>
  <si>
    <t>TAG Chrysanthemum Concert Purple 50/50 Petite Portrait DO FUL</t>
  </si>
  <si>
    <t>TAG Chrysanthemum Coral/Salmon GENERIC 100/100 Pixie Tag</t>
  </si>
  <si>
    <t>TAG Chrysanthemum Covington Yellow 50/50 Pixie Tag SF FUL</t>
  </si>
  <si>
    <t>TAG Chrysanthemum Cruise Yellow 50/50 Petite Portrait DO FUL</t>
  </si>
  <si>
    <t>TAG Chrysanthemum Crush Orange 50/50 Petite Portrait DO FUL</t>
  </si>
  <si>
    <t>TAG Chrysanthemum Cynthia Scarlet 100/100 Pixie Tag SF</t>
  </si>
  <si>
    <t>TAG Chrysanthemum Cynthia Scarlet 50/50 Pixie Tag SF FUL</t>
  </si>
  <si>
    <t>TAG Chrysanthemum Danielle Purple 100/100 Pixie Tag SF</t>
  </si>
  <si>
    <t>TAG Chrysanthemum Danielle Purple 50/50 Pixie Tag SF FUL</t>
  </si>
  <si>
    <t>TAG Chrysanthemum Danielle Red 100/100 Pixie Tag SF</t>
  </si>
  <si>
    <t>TAG Chrysanthemum Danielle Red 50/50 Pixie Tag SF FUL</t>
  </si>
  <si>
    <t>TAG Chrysanthemum Darling Pink 50/50 Petite Portrait DO FUL</t>
  </si>
  <si>
    <t>TAG Chrysanthemum Dawn Yellow 100/100 Pixie Tag SF</t>
  </si>
  <si>
    <t>TAG Chrysanthemum Dawn Yellow 50/50 Pixie Tag SF FUL</t>
  </si>
  <si>
    <t>TAG Chrysanthemum Debbie Hot Pink 100/100 Pixie Tag SF</t>
  </si>
  <si>
    <t>TAG Chrysanthemum Debbie Hot Pink 50/50 Pixie Tag SF FUL</t>
  </si>
  <si>
    <t>TAG Chrysanthemum Delano Purple 50/50 Pixie Tag SF FUL</t>
  </si>
  <si>
    <t>TAG Chrysanthemum Delano Red 50/50 Pixie Tag SF FUL</t>
  </si>
  <si>
    <t>TAG Chrysanthemum Delano Spring Pink Bicolor 50/50 Pixie Tag SF FUL</t>
  </si>
  <si>
    <t>TAG Chrysanthemum Demi Pink 100/100 Pixie Tag SF</t>
  </si>
  <si>
    <t>TAG Chrysanthemum Demi Pink 50/50 Pixie Tag SF FUL</t>
  </si>
  <si>
    <t>TAG Chrysanthemum Desire Golden 50/50 Petite Portrait DO FUL</t>
  </si>
  <si>
    <t>TAG Chrysanthemum Ditto Dark Orange 50/50 Petite Portrait DO FUL</t>
  </si>
  <si>
    <t>TAG Chrysanthemum Ditto Dark Pink 50/50 Petite Portrait DO FUL</t>
  </si>
  <si>
    <t>TAG Chrysanthemum Ditto Pink 50/50 Petite Portrait DO FUL</t>
  </si>
  <si>
    <t>TAG Chrysanthemum Ditto White 50/50 Petite Portrait DO FUL</t>
  </si>
  <si>
    <t>TAG Chrysanthemum Ditto Yellow 50/50 Petite Portrait DO FUL</t>
  </si>
  <si>
    <t>TAG Chrysanthemum Dorothy Bronze 100/100 Pixie Tag SF</t>
  </si>
  <si>
    <t>TAG Chrysanthemum Dorothy Bronze 50/50 Pixie Tag SF FUL</t>
  </si>
  <si>
    <t>TAG Chrysanthemum Durango Bronze 50/50 Pixie Tag SF FUL</t>
  </si>
  <si>
    <t>TAG Chrysanthemum Durango Honey 50/50 Pixie Tag SF FUL</t>
  </si>
  <si>
    <t>TAG Chrysanthemum Durango Yellow 50/50 Pixie Tag SF FUL</t>
  </si>
  <si>
    <t>TAG Chrysanthemum Ecstatic Purple 50/50 Petite Portrait DO FUL</t>
  </si>
  <si>
    <t>TAG Chrysanthemum Edana Red 100/100 Pixie Tag SF</t>
  </si>
  <si>
    <t>TAG Chrysanthemum Edana Red 50/50 Pixie Tag SF FUL</t>
  </si>
  <si>
    <t>TAG Chrysanthemum Edith White 100/100 Pixie Tag SF</t>
  </si>
  <si>
    <t>TAG Chrysanthemum Edith White 50/50 Pixie Tag SF FUL</t>
  </si>
  <si>
    <t>TAG Chrysanthemum Elated Purple 50/50 Petite Portrait DO FUL</t>
  </si>
  <si>
    <t>TAG Chrysanthemum Electra Amber 100/100 Pixie Tag SF</t>
  </si>
  <si>
    <t>TAG Chrysanthemum Electra Amber 50/50 Pixie Tag SF FUL</t>
  </si>
  <si>
    <t>TAG Chrysanthemum Elena Gold 100/100 Pixie Tag SF</t>
  </si>
  <si>
    <t>TAG Chrysanthemum Elena Gold 50/50 Pixie Tag SF FUL</t>
  </si>
  <si>
    <t>TAG Chrysanthemum Elizabeth Dark Pink 100/100 Pixie Tag SF</t>
  </si>
  <si>
    <t>TAG Chrysanthemum Elizabeth Dark Pink 50/50 Pixie Tag SF FUL</t>
  </si>
  <si>
    <t>TAG Chrysanthemum Ellen Golden Bicolor 100/100 Pixie Tag SF</t>
  </si>
  <si>
    <t>TAG Chrysanthemum Ellen Golden Bicolor 50/50 Pixie Tag SF FUL</t>
  </si>
  <si>
    <t>TAG Chrysanthemum Emelda Purple 100/100 Pixie Tag SF</t>
  </si>
  <si>
    <t>TAG Chrysanthemum Emelda Purple 50/50 Pixie Tag SF FUL</t>
  </si>
  <si>
    <t>TAG Chrysanthemum Emporia Golden 50/50 Pixie Tag SF FUL</t>
  </si>
  <si>
    <t>TAG Chrysanthemum Emporia Orange 50/50 Pixie Tag SF FUL</t>
  </si>
  <si>
    <t>TAG Chrysanthemum Essex Purple 50/50 Pixie Tag SF FUL</t>
  </si>
  <si>
    <t>TAG Chrysanthemum Estes Park Purple Bicolor 50/50 Pixie Tag SF FUL</t>
  </si>
  <si>
    <t>TAG Chrysanthemum Fair White 50/50 Petite Portrait DO FUL</t>
  </si>
  <si>
    <t>TAG Chrysanthemum Fairbanks Purple Spoon 50/50 Pixie Tag SF FUL</t>
  </si>
  <si>
    <t>TAG Chrysanthemum Festival Purple 50/50 Petite Portrait DO FUL</t>
  </si>
  <si>
    <t>TAG Chrysanthemum Feverfew GENERIC 100/100 Pixie Tag</t>
  </si>
  <si>
    <t>TAG Chrysanthemum Field Yellow 50/50 Petite Portrait DO FUL</t>
  </si>
  <si>
    <t>TAG Chrysanthemum Fiesta Red 50/50 Petite Portrait DO FUL</t>
  </si>
  <si>
    <t>TAG Chrysanthemum Flame Bicolor 50/50 Petite Portrait DO FUL</t>
  </si>
  <si>
    <t>TAG Chrysanthemum Fleur Chantal Hot Red 50/50 Pixie Tag SF FUL</t>
  </si>
  <si>
    <t>TAG Chrysanthemum Fleur Fifi Hot Pink 50/50 Pixie Tag SF FUL</t>
  </si>
  <si>
    <t>TAG Chrysanthemum Fleur Genevieve Purple Bicolor 50/50 Pixie Tag SF FUL</t>
  </si>
  <si>
    <t>TAG Chrysanthemum Fleur Lisette Yellow 50/50 Pixie Tag SF FUL</t>
  </si>
  <si>
    <t>TAG Chrysanthemum Fleur Lucien Yellow 50/50 Pixie Tag SF FUL</t>
  </si>
  <si>
    <t>TAG Chrysanthemum Fleur Sabine Bronze 50/50 Pixie Tag SF FUL</t>
  </si>
  <si>
    <t>TAG Chrysanthemum Fleur Sylvie White 50/50 Pixie Tag SF FUL</t>
  </si>
  <si>
    <t>TAG Chrysanthemum Fresh White 50/50 Petite Portrait DO FUL</t>
  </si>
  <si>
    <t>TAG Chrysanthemum Gigi Coral 100/100 Pixie Tag SF</t>
  </si>
  <si>
    <t>TAG Chrysanthemum Gigi Coral 50/50 Pixie Tag SF FUL</t>
  </si>
  <si>
    <t>TAG Chrysanthemum Gigi Dark Pink 100/100 Pixie Tag SF</t>
  </si>
  <si>
    <t>TAG Chrysanthemum Gigi Dark Pink 50/50 Pixie Tag SF FUL</t>
  </si>
  <si>
    <t>TAG Chrysanthemum Gigi Gold 100/100 Pixie Tag SF</t>
  </si>
  <si>
    <t>TAG Chrysanthemum Gigi Gold 50/50 Pixie Tag SF FUL</t>
  </si>
  <si>
    <t>TAG Chrysanthemum Gigi Orange 100/100 Pixie Tag SF</t>
  </si>
  <si>
    <t>TAG Chrysanthemum Gigi Orange 50/50 Pixie Tag SF FUL</t>
  </si>
  <si>
    <t>TAG Chrysanthemum Gigi Snow 100/100 Pixie Tag SF</t>
  </si>
  <si>
    <t>TAG Chrysanthemum Gigi Snow 50/50 Pixie Tag SF FUL</t>
  </si>
  <si>
    <t>TAG Chrysanthemum Gigi Yellow 100/100 Pixie Tag SF</t>
  </si>
  <si>
    <t>TAG Chrysanthemum Gigi Yellow 50/50 Pixie Tag SF FUL</t>
  </si>
  <si>
    <t>TAG Chrysanthemum Mum GENERIC 100/100 Hang Tag</t>
  </si>
  <si>
    <t>TAG Chrysanthemum Mum GENERIC 100/100 Pixie Tag</t>
  </si>
  <si>
    <t>TAG Chrysanthemum Goal Light Bronze 50/50 Petite Portrait DO FUL</t>
  </si>
  <si>
    <t>TAG Chrysanthemum Goal Orange 50/50 Petite Portrait DO FUL</t>
  </si>
  <si>
    <t>TAG Chrysanthemum Goal Yellow 50/50 Petite Portrait DO FUL</t>
  </si>
  <si>
    <t>TAG Chrysanthemum Golden Gate 50/50 Pixie Tag SF FUL</t>
  </si>
  <si>
    <t>TAG Chrysanthemum Grandview Gold 50/50 Pixie Tag SF FUL</t>
  </si>
  <si>
    <t>TAG Chrysanthemum Grandview Light Pink 50/50 Pixie Tag SF FUL</t>
  </si>
  <si>
    <t>TAG Chrysanthemum Grandview Pink 50/50 Pixie Tag SF FUL</t>
  </si>
  <si>
    <t>TAG Chrysanthemum Grandview Yellow 50/50 Pixie Tag SF FUL</t>
  </si>
  <si>
    <t>TAG Chrysanthemum Green Valley 50/50 Pixie Tag SF FUL</t>
  </si>
  <si>
    <t>TAG Chrysanthemum Hailey Gold 100/100 Pixie Tag SF</t>
  </si>
  <si>
    <t>TAG Chrysanthemum Hailey Gold Improved 50/50 Pixie Tag SF FUL</t>
  </si>
  <si>
    <t>TAG Chrysanthemum Hailey Orange 100/100 Pixie Tag SF</t>
  </si>
  <si>
    <t>TAG Chrysanthemum Hailey Orange 50/50 Pixie Tag SF FUL</t>
  </si>
  <si>
    <t>TAG Chrysanthemum Hailey Red Bronze 100/100 Pixie Tag SF</t>
  </si>
  <si>
    <t>TAG Chrysanthemum Hailey Red Bronze 50/50 Pixie Tag SF FUL</t>
  </si>
  <si>
    <t>TAG Chrysanthemum Hankie Yellow 100/100 Pixie Tag SF</t>
  </si>
  <si>
    <t>TAG Chrysanthemum Hankie Yellow 50/50 Pixie Tag SF FUL</t>
  </si>
  <si>
    <t>TAG Chrysanthemum Hannah Orange 100/100 Pixie Tag SF</t>
  </si>
  <si>
    <t>TAG Chrysanthemum Hannah Orange 50/50 Pixie Tag SF FUL</t>
  </si>
  <si>
    <t>TAG Chrysanthemum Hardy Mum GENERIC 100/100 Pixie Tag</t>
  </si>
  <si>
    <t>TAG Chrysanthemum Hardy Mum GENERIC 25/25 Portrait Tag</t>
  </si>
  <si>
    <t>TAG Chrysanthemum Hestia Hot Red 100/100 Pixie Tag SF</t>
  </si>
  <si>
    <t>TAG Chrysanthemum Hestia Hot Red 50/50 Pixie Tag SF FUL</t>
  </si>
  <si>
    <t>TAG Chrysanthemum Hilo Fuchsia 50/50 Pixie Tag SF FUL</t>
  </si>
  <si>
    <t>TAG Chrysanthemum Hilo Tangerine 50/50 Pixie Tag SF FUL</t>
  </si>
  <si>
    <t>TAG Chrysanthemum Homerun Orange 50/50 Petite Portrait DO FUL</t>
  </si>
  <si>
    <t>TAG Chrysanthemum Homerun Pink 50/50 Petite Portrait DO FUL</t>
  </si>
  <si>
    <t>TAG Chrysanthemum Homerun Scarlet 50/50 Petite Portrait DO FUL</t>
  </si>
  <si>
    <t>TAG Chrysanthemum Homerun White 50/50 Petite Portrait DO FUL</t>
  </si>
  <si>
    <t>TAG Chrysanthemum Homerun Yellow 50/50 Petite Portrait DO FUL</t>
  </si>
  <si>
    <t>TAG Chrysanthemum Jacqueline Orange Fusion 100/100 Pixie Tag SF</t>
  </si>
  <si>
    <t>TAG Chrysanthemum Jacqueline Orange Fusion 50/50 Pixie Tag SF FUL</t>
  </si>
  <si>
    <t>TAG Chrysanthemum Jacqueline Peach Fusion 100/100 Pixie Tag SF</t>
  </si>
  <si>
    <t>TAG Chrysanthemum Jacqueline Peach Fusion 50/50 Pixie Tag SF FUL</t>
  </si>
  <si>
    <t>TAG Chrysanthemum Jacqueline Pearl 100/100 Pixie Tag SF</t>
  </si>
  <si>
    <t>TAG Chrysanthemum Jacqueline Pearl 50/50 Pixie Tag SF FUL</t>
  </si>
  <si>
    <t>TAG Chrysanthemum Jacqueline Pink 100/100 Pixie Tag SF</t>
  </si>
  <si>
    <t>TAG Chrysanthemum Jacqueline Pink 50/50 Pixie Tag SF FUL</t>
  </si>
  <si>
    <t>TAG Chrysanthemum Jacqueline Rose 100/100 Pixie Tag SF</t>
  </si>
  <si>
    <t>TAG Chrysanthemum Jacqueline Rose 50/50 Pixie Tag SF FUL</t>
  </si>
  <si>
    <t>TAG Chrysanthemum Jacqueline Yellow 100/100 Pixie Tag SF</t>
  </si>
  <si>
    <t>TAG Chrysanthemum Jacqueline Yellow 50/50 Pixie Tag SF FUL</t>
  </si>
  <si>
    <t>TAG Chrysanthemum Jamboree Pink/White 50/50 Petite Portrait DO FUL</t>
  </si>
  <si>
    <t>TAG Chrysanthemum Jamboree Purple/White 50/50 Petite Portrait DO FUL</t>
  </si>
  <si>
    <t>TAG Chrysanthemum Jamboree Red/Yellow 50/50 Petite Portrait DO FUL</t>
  </si>
  <si>
    <t>TAG Chrysanthemum Jamestown Regal Purple 50/50 Pixie Tag SF FUL</t>
  </si>
  <si>
    <t>TAG Chrysanthemum Jane Yellow 100/100 Pixie Tag SF</t>
  </si>
  <si>
    <t>TAG Chrysanthemum Jane Yellow 50/50 Pixie Tag SF FUL</t>
  </si>
  <si>
    <t>TAG Chrysanthemum Joan White 100/100 Pixie Tag SF</t>
  </si>
  <si>
    <t>TAG Chrysanthemum Joan White 50/50 Pixie Tag SF FUL</t>
  </si>
  <si>
    <t>TAG Chrysanthemum Jolly Dark Bronze 50/50 Petite Portrait DO FUL</t>
  </si>
  <si>
    <t>TAG Chrysanthemum Josephine Red 100/100 Pixie Tag SF</t>
  </si>
  <si>
    <t>TAG Chrysanthemum Josephine Red 50/50 Pixie Tag SF FUL</t>
  </si>
  <si>
    <t>TAG Chrysanthemum Jubilant Red 50/50 Petite Portrait DO FUL</t>
  </si>
  <si>
    <t>TAG Chrysanthemum Judy Bronze 100/100 Pixie Tag SF</t>
  </si>
  <si>
    <t>TAG Chrysanthemum Judy Bronze 50/50 Pixie Tag SF FUL</t>
  </si>
  <si>
    <t>TAG Chrysanthemum Jump White 50/50 Petite Portrait DO FUL</t>
  </si>
  <si>
    <t>TAG Chrysanthemum Juneau White 50/50 Pixie Tag SF FUL</t>
  </si>
  <si>
    <t>TAG Chrysanthemum Kathleen Dark Red 100/100 Pixie Tag SF</t>
  </si>
  <si>
    <t>TAG Chrysanthemum Kathleen Dark Red 50/50 Pixie Tag SF FUL</t>
  </si>
  <si>
    <t>TAG Chrysanthemum Katie White 100/100 Pixie Tag SF</t>
  </si>
  <si>
    <t>TAG Chrysanthemum Katie White 50/50 Pixie Tag SF FUL</t>
  </si>
  <si>
    <t>TAG Chrysanthemum Keeley Orange 100/100 Pixie Tag SF</t>
  </si>
  <si>
    <t>TAG Chrysanthemum Keeley Orange 50/50 Pixie Tag SF FUL</t>
  </si>
  <si>
    <t>TAG Chrysanthemum Kick Orange 50/50 Petite Portrait DO FUL</t>
  </si>
  <si>
    <t>TAG Chrysanthemum Kingsville Yellow 50/50 Pixie Tag SF FUL</t>
  </si>
  <si>
    <t>TAG Chrysanthemum Lagoon Purple 50/50 Petite Portrait DO FUL</t>
  </si>
  <si>
    <t>TAG Chrysanthemum League Pink 50/50 Petite Portrait DO FUL</t>
  </si>
  <si>
    <t>TAG Chrysanthemum Limerick Lime 50/50 Pixie Tag SF FUL</t>
  </si>
  <si>
    <t>TAG Chrysanthemum Lively Pink Bicolor 50/50 Petite Portrait DO FUL</t>
  </si>
  <si>
    <t>TAG Chrysanthemum Lively Red Bicolor 50/50 Petite Portrait DO FUL</t>
  </si>
  <si>
    <t>TAG Chrysanthemum Lucky Purple 50/50 Petite Portrait DO FUL</t>
  </si>
  <si>
    <t>TAG Chrysanthemum Lucy Bronze Bicolor 50/50 Pixie Tag SF FUL</t>
  </si>
  <si>
    <t>TAG Chrysanthemum Lucy Bronze Bicolor 100/100 Pixie Tag SF</t>
  </si>
  <si>
    <t>TAG Chrysanthemum Makayla Yellow 100/100 Pixie Tag SF</t>
  </si>
  <si>
    <t>TAG Chrysanthemum Makayla Yellow 50/50 Pixie Tag SF FUL</t>
  </si>
  <si>
    <t>TAG Chrysanthemum Makenna Orange 100/100 Pixie Tag SF</t>
  </si>
  <si>
    <t>TAG Chrysanthemum Makenna Orange 50/50 Pixie Tag SF FUL</t>
  </si>
  <si>
    <t>TAG Chrysanthemum Makenzie White 100/100 Pixie Tag SF</t>
  </si>
  <si>
    <t>TAG Chrysanthemum Makenzie White 50/50 Pixie Tag SF FUL</t>
  </si>
  <si>
    <t>TAG Chrysanthemum Manhattan Yellow 50/50 Pixie Tag SF FUL</t>
  </si>
  <si>
    <t>TAG Chrysanthemum Marsha Pink 100/100 Pixie Tag SF</t>
  </si>
  <si>
    <t>TAG Chrysanthemum Marsha Pink 50/50 Pixie Tag SF FUL</t>
  </si>
  <si>
    <t>TAG Chrysanthemum Mary Yellow 100/100 Pixie Tag SF</t>
  </si>
  <si>
    <t>TAG Chrysanthemum Mary Yellow 50/50 Pixie Tag SF FUL</t>
  </si>
  <si>
    <t>TAG Chrysanthemum Melody Bronze 50/50 Petite Portrait DO FUL</t>
  </si>
  <si>
    <t>TAG Chrysanthemum Meridian Dark Pink 50/50 Petite Portrait DO FUL</t>
  </si>
  <si>
    <t>TAG Chrysanthemum Merry Bronze Bicolor 50/50 Petite Portrait DO FUL</t>
  </si>
  <si>
    <t>TAG Chrysanthemum Michelle Gold 100/100 Pixie Tag SF</t>
  </si>
  <si>
    <t>TAG Chrysanthemum Michelle Gold 50/50 Pixie Tag SF FUL</t>
  </si>
  <si>
    <t>TAG Chrysanthemum Mila Red 100/100 Pixie Tag SF</t>
  </si>
  <si>
    <t>TAG Chrysanthemum Mila Red 50/50 Pixie Tag SF FUL</t>
  </si>
  <si>
    <t>TAG Chrysanthemum Mildred White 100/100 Pixie Tag SF</t>
  </si>
  <si>
    <t>TAG Chrysanthemum Mildred White 50/50 Pixie Tag SF FUL</t>
  </si>
  <si>
    <t>TAG Chrysanthemum Milton Dark Pink 50/50 Pixie Tag SF FUL</t>
  </si>
  <si>
    <t>TAG Chrysanthemum Milton Orange 50/50 Pixie Tag SF FUL</t>
  </si>
  <si>
    <t>TAG Chrysanthemum Milton Plum 50/50 Pixie Tag SF FUL</t>
  </si>
  <si>
    <t>TAG Chrysanthemum Mimosa 50/50 Petite Portrait DO FUL</t>
  </si>
  <si>
    <t>TAG Chrysanthemum Miranda Orange 100/100 Pixie Tag SF</t>
  </si>
  <si>
    <t>TAG Chrysanthemum Miranda Orange 50/50 Pixie Tag SF FUL</t>
  </si>
  <si>
    <t>TAG Chrysanthemum Nadia Yellow 50/50 Pixie Tag SF FUL</t>
  </si>
  <si>
    <t>TAG Chrysanthemum Newark Pink Bicolor 50/50 Pixie Tag SF FUL</t>
  </si>
  <si>
    <t>TAG Chrysanthemum Nikki Bronze 100/100 Pixie Tag SF</t>
  </si>
  <si>
    <t>TAG Chrysanthemum Nikki Bronze 50/50 Pixie Tag SF FUL</t>
  </si>
  <si>
    <t>TAG Chrysanthemum Nikki Dark Pink 100/100 Pixie Tag SF</t>
  </si>
  <si>
    <t>TAG Chrysanthemum Nikki Dark Pink 50/50 Pixie Tag SF FUL</t>
  </si>
  <si>
    <t>TAG Chrysanthemum Nikki Orange 100/100 Pixie Tag SF</t>
  </si>
  <si>
    <t>TAG Chrysanthemum Nikki Orange 50/50 Pixie Tag SF FUL</t>
  </si>
  <si>
    <t>TAG Chrysanthemum Nikki Pearl 100/100 Pixie Tag SF</t>
  </si>
  <si>
    <t>TAG Chrysanthemum Nikki Pearl 50/50 Pixie Tag SF FUL</t>
  </si>
  <si>
    <t>TAG Chrysanthemum Nikki Pink Bicolor 50/50 Pixie Tag SF FUL</t>
  </si>
  <si>
    <t>TAG Chrysanthemum Nikki Pink Bicolor 100/100 Pixie Tag SF</t>
  </si>
  <si>
    <t>TAG Chrysanthemum Nikki Yellow 100/100 Pixie Tag SF</t>
  </si>
  <si>
    <t>TAG Chrysanthemum Nikki Yellow 50/50 Pixie Tag SF FUL</t>
  </si>
  <si>
    <t>TAG Chrysanthemum Norah White 50/50 Pixie Tag SF FUL</t>
  </si>
  <si>
    <t>TAG Chrysanthemum Olympia White 50/50 Pixie Tag SF FUL</t>
  </si>
  <si>
    <t>TAG Chrysanthemum Ottawa White 50/50 Pixie Tag SF FUL</t>
  </si>
  <si>
    <t>TAG Chrysanthemum Paludosum GENERIC 100/100 Pixie Tag</t>
  </si>
  <si>
    <t>TAG Chrysanthemum Pamela Orange 100/100 Pixie Tag SF</t>
  </si>
  <si>
    <t>TAG Chrysanthemum Pamela Orange 50/50 Pixie Tag SF FUL</t>
  </si>
  <si>
    <t>TAG Chrysanthemum Pamela Pink 100/100 Pixie Tag SF</t>
  </si>
  <si>
    <t>TAG Chrysanthemum Pamela Pink 50/50 Pixie Tag SF FUL</t>
  </si>
  <si>
    <t>TAG Chrysanthemum Pamela White 100/100 Pixie Tag SF</t>
  </si>
  <si>
    <t>TAG Chrysanthemum Pamela White 50/50 Pixie Tag SF FUL</t>
  </si>
  <si>
    <t>TAG Chrysanthemum Pamela Yellow 100/100 Pixie Tag SF</t>
  </si>
  <si>
    <t>TAG Chrysanthemum Pamela Yellow 50/50 Pixie Tag SF FUL</t>
  </si>
  <si>
    <t>TAG Chrysanthemum Parade Pink 50/50 Petite Portrait DO FUL</t>
  </si>
  <si>
    <t>TAG Chrysanthemum Party Yellow 50/50 Petite Portrait DO FUL</t>
  </si>
  <si>
    <t>TAG Chrysanthemum Patty Pomegranate 100/100 Pixie Tag SF</t>
  </si>
  <si>
    <t>TAG Chrysanthemum Patty Pomegranate 50/50 Pixie Tag SF FUL</t>
  </si>
  <si>
    <t>TAG Chrysanthemum Patty Purple 100/100 Pixie Tag SF</t>
  </si>
  <si>
    <t>TAG Chrysanthemum Patty Purple 50/50 Pixie Tag SF FUL</t>
  </si>
  <si>
    <t>TAG Chrysanthemum Pauline Purple 50/50 Pixie Tag SF FUL</t>
  </si>
  <si>
    <t>TAG Chrysanthemum Pelee 50/50 Pixie Tag SF FUL</t>
  </si>
  <si>
    <t>TAG Chrysanthemum Peppermint Passion Pink 50/50 Petite Portrait DO FUL</t>
  </si>
  <si>
    <t>TAG Chrysanthemum Pink GENERIC 100/100 Pixie Tag</t>
  </si>
  <si>
    <t>TAG Chrysanthemum Pittsburgh Purple 50/50 Pixie Tag SF FUL</t>
  </si>
  <si>
    <t>TAG Chrysanthemum Pelee Point 50/50 Pixie Tag SF FUL</t>
  </si>
  <si>
    <t>TAG Chrysanthemum Pot Mums GENERIC 100/100 Pixie Tag</t>
  </si>
  <si>
    <t>TAG Chrysanthemum Power Red 50/50 Petite Portrait DO FUL</t>
  </si>
  <si>
    <t>TAG Chrysanthemum Presidio Deep Pink 50/50 Pixie Tag SF FUL</t>
  </si>
  <si>
    <t>TAG Chrysanthemum Pride Pink 50/50 Petite Portrait DO FUL</t>
  </si>
  <si>
    <t>TAG Chrysanthemum Providence Yellow 50/50 Pixie Tag SF FUL</t>
  </si>
  <si>
    <t>TAG Chrysanthemum Purple Springs 50/50 Pixie Tag SF FUL</t>
  </si>
  <si>
    <t>TAG Chrysanthemum Purple/Lavender GENERIC 100/100 Pixie Tag</t>
  </si>
  <si>
    <t>TAG Chrysanthemum Race Orange 50/50 Petite Portrait DO FUL</t>
  </si>
  <si>
    <t>TAG Chrysanthemum Red 100/100 Pixie Tag</t>
  </si>
  <si>
    <t>TAG Chrysanthemum Red GENERIC 100/100 Pixie Tag</t>
  </si>
  <si>
    <t>TAG Chrysanthemum Reef Bronze 50/50 Petite Portrait DO FUL</t>
  </si>
  <si>
    <t>TAG Chrysanthemum Rhonda Bronze 100/100 Pixie Tag SF</t>
  </si>
  <si>
    <t>TAG Chrysanthemum Rhonda Bronze 50/50 Pixie Tag SF FUL</t>
  </si>
  <si>
    <t>TAG Chrysanthemum Rhonda Pink 100/100 Pixie Tag SF</t>
  </si>
  <si>
    <t>TAG Chrysanthemum Rhonda Pink 50/50 Pixie Tag SF FUL</t>
  </si>
  <si>
    <t>TAG Chrysanthemum Rhonda Purple 100/100 Pixie Tag SF</t>
  </si>
  <si>
    <t>TAG Chrysanthemum Rhonda Purple 50/50 Pixie Tag SF FUL</t>
  </si>
  <si>
    <t>TAG Chrysanthemum Rhonda Red 100/100 Pixie Tag SF</t>
  </si>
  <si>
    <t>TAG Chrysanthemum Rhonda Red 50/50 Pixie Tag SF FUL</t>
  </si>
  <si>
    <t>TAG Chrysanthemum Rhonda White 100/100 Pixie Tag SF</t>
  </si>
  <si>
    <t>TAG Chrysanthemum Rhonda White 50/50 Pixie Tag SF FUL</t>
  </si>
  <si>
    <t>TAG Chrysanthemum Rhonda Yellow 100/100 Pixie Tag SF</t>
  </si>
  <si>
    <t>TAG Chrysanthemum Rhonda Yellow 50/50 Pixie Tag SF FUL</t>
  </si>
  <si>
    <t>TAG Chrysanthemum Rihanna Red 100/100 Pixie Tag SF</t>
  </si>
  <si>
    <t>TAG Chrysanthemum Rihanna Red 50/50 Pixie Tag SF FUL</t>
  </si>
  <si>
    <t>TAG Chrysanthemum Rockport Purple 50/50 Pixie Tag SF FUL</t>
  </si>
  <si>
    <t>TAG Chrysanthemum Samantha Red 100/100 Pixie Tag SF</t>
  </si>
  <si>
    <t>TAG Chrysanthemum Samantha Red 50/50 Pixie Tag SF FUL</t>
  </si>
  <si>
    <t>TAG Chrysanthemum Saskatoon White 50/50 Pixie Tag SF FUL</t>
  </si>
  <si>
    <t>TAG Chrysanthemum Score White 50/50 Petite Portrait DO FUL</t>
  </si>
  <si>
    <t>TAG Chrysanthemum Seaside Red 50/50 Petite Portrait DO FUL</t>
  </si>
  <si>
    <t>TAG Chrysanthemum Seaside White 50/50 Pixie Tag SF FUL</t>
  </si>
  <si>
    <t>TAG Chrysanthemum Selena Red 100/100 Pixie Tag SF</t>
  </si>
  <si>
    <t>TAG Chrysanthemum Selena Red 50/50 Pixie Tag SF FUL</t>
  </si>
  <si>
    <t>TAG Chrysanthemum Shanghai Red 50/50 Pixie Tag SF FUL</t>
  </si>
  <si>
    <t>TAG Chrysanthemum Shannon White 100/100 Pixie Tag SF</t>
  </si>
  <si>
    <t>TAG Chrysanthemum Shannon White 50/50 Pixie Tag SF FUL</t>
  </si>
  <si>
    <t>TAG Chrysanthemum Shore Appleblossom 50/50 Petite Portrait DO FUL</t>
  </si>
  <si>
    <t>TAG Chrysanthemum Sing Yellow 50/50 Petite Portrait DO FUL</t>
  </si>
  <si>
    <t>TAG Chrysanthemum Skylar Yellow 50/50 Pixie Tag SF FUL</t>
  </si>
  <si>
    <t>TAG Chrysanthemum Snowland Paludosum 100/100 Pixie Tag</t>
  </si>
  <si>
    <t>TAG Chrysanthemum Solar Flare 50/50 Petite Portrait DO FUL</t>
  </si>
  <si>
    <t>TAG Chrysanthemum Springdale Purple 50/50 Pixie Tag SF FUL</t>
  </si>
  <si>
    <t>TAG Chrysanthemum Stacy Orange Dazzling 100/100 Pixie Tag SF</t>
  </si>
  <si>
    <t>TAG Chrysanthemum Stacy Dazzling Orange 50/50 Pixie Tag SF FUL</t>
  </si>
  <si>
    <t>TAG Chrysanthemum Stacy Pink 100/100 Pixie Tag SF</t>
  </si>
  <si>
    <t>TAG Chrysanthemum Stacy Pink 50/50 Pixie Tag SF FUL</t>
  </si>
  <si>
    <t>TAG Chrysanthemum Starling Pink 50/50 Pixie Tag SF FUL</t>
  </si>
  <si>
    <t>TAG Chrysanthemum Starspot 50/50 Petite Portrait DO FUL</t>
  </si>
  <si>
    <t>TAG Chrysanthemum Stephany Bronze 50/50 Pixie Tag SF FUL</t>
  </si>
  <si>
    <t>TAG Chrysanthemum Stephany Yellow 100/100 Pixie Tag SF</t>
  </si>
  <si>
    <t>TAG Chrysanthemum Stephany Yellow 50/50 Pixie Tag SF FUL</t>
  </si>
  <si>
    <t>TAG Chrysanthemum Strawberry Ice 50/50 Petite Portrait DO FUL</t>
  </si>
  <si>
    <t>TAG Chrysanthemum Summer Sunset 100/100 Pixie Tag SF</t>
  </si>
  <si>
    <t>TAG Chrysanthemum Summer Sunset 50/50 Pixie Tag SF FUL</t>
  </si>
  <si>
    <t>TAG Chrysanthemum Sunblaze Flame 50/50 Petite Portrait DO FUL</t>
  </si>
  <si>
    <t>TAG Chrysanthemum Tabitha Scarlet 100/100 Pixie Tag SF</t>
  </si>
  <si>
    <t>TAG Chrysanthemum Tabitha Scarlet 50/50 Pixie Tag SF FUL</t>
  </si>
  <si>
    <t>TAG Chrysanthemum Tanya Yellow 100/100 Pixie Tag SF</t>
  </si>
  <si>
    <t>TAG Chrysanthemum Tanya Yellow 50/50 Pixie Tag SF FUL</t>
  </si>
  <si>
    <t>TAG Chrysanthemum Teresa Pink 100/100 Pixie Tag SF</t>
  </si>
  <si>
    <t>TAG Chrysanthemum Teresa Pink 50/50 Pixie Tag SF FUL</t>
  </si>
  <si>
    <t>TAG Chrysanthemum Tiger Eyes 50/50 Petite Portrait DO FUL</t>
  </si>
  <si>
    <t>TAG Chrysanthemum Tina Gold 100/100 Pixie Tag SF</t>
  </si>
  <si>
    <t>TAG Chrysanthemum Tina Gold 50/50 Pixie Tag SF FUL</t>
  </si>
  <si>
    <t>TAG Chrysanthemum Toast Orange 50/50 Petite Portrait DO FUL</t>
  </si>
  <si>
    <t>TAG Chrysanthemum Touchdown Bicolor Pink 50/50 Petite Portrait DO FUL</t>
  </si>
  <si>
    <t>TAG Chrysanthemum Touchdown Orange 50/50 Petite Portrait DO FUL</t>
  </si>
  <si>
    <t>TAG Chrysanthemum Touchdown Purple 50/50 Petite Portrait DO FUL</t>
  </si>
  <si>
    <t>TAG Chrysanthemum Touchdown White 50/50 Petite Portrait DO FUL</t>
  </si>
  <si>
    <t>TAG Chrysanthemum Touchdown Yellow 50/50 Petite Portrait DO FUL</t>
  </si>
  <si>
    <t>TAG Chrysanthemum Tracy Orange 100/100 Pixie Tag SF</t>
  </si>
  <si>
    <t>TAG Chrysanthemum Tracy Orange 50/50 Pixie Tag SF FUL</t>
  </si>
  <si>
    <t>TAG Chrysanthemum Ursula Orange Fancy 100/100 Pixie Tag SF</t>
  </si>
  <si>
    <t>TAG Chrysanthemum Ursula Fancy Orange 50/50 Pixie Tag SF FUL</t>
  </si>
  <si>
    <t>TAG Chrysanthemum Ursula Coral Jazzy 100/100 Pixie Tag SF</t>
  </si>
  <si>
    <t>TAG Chrysanthemum Ursula Jazzy Coral 50/50 Pixie Tag SF FUL</t>
  </si>
  <si>
    <t>TAG Chrysanthemum Ursula Lavender 100/100 Pixie Tag SF</t>
  </si>
  <si>
    <t>TAG Chrysanthemum Ursula Lavender 50/50 Pixie Tag SF FUL</t>
  </si>
  <si>
    <t>TAG Chrysanthemum Ursula Sunny 100/100 Pixie Tag SF</t>
  </si>
  <si>
    <t>TAG Chrysanthemum Ursula Sunny Yellow 50/50 Pixie Tag SF FUL</t>
  </si>
  <si>
    <t>TAG Chrysanthemum Vanna Snow 100/100 Pixie Tag SF</t>
  </si>
  <si>
    <t>TAG Chrysanthemum Vanna Snow 50/50 Pixie Tag SF FUL</t>
  </si>
  <si>
    <t>TAG Chrysanthemum Veronica Dark Pink 100/100 Pixie Tag SF</t>
  </si>
  <si>
    <t>TAG Chrysanthemum Veronica Dark Pink 50/50 Pixie Tag SF FUL</t>
  </si>
  <si>
    <t>TAG Chrysanthemum Volley Red 50/50 Petite Portrait DO FUL</t>
  </si>
  <si>
    <t>TAG Chrysanthemum Wanda Bronze 100/100 Pixie Tag SF</t>
  </si>
  <si>
    <t>TAG Chrysanthemum Wanda Bronze 50/50 Pixie Tag SF FUL</t>
  </si>
  <si>
    <t>TAG Chrysanthemum Wanda Lavender 100/100 Pixie Tag SF</t>
  </si>
  <si>
    <t>TAG Chrysanthemum Wanda Lavender 50/50 Pixie Tag SF FUL</t>
  </si>
  <si>
    <t>TAG Chrysanthemum Wanda Purple 100/100 Pixie Tag SF</t>
  </si>
  <si>
    <t>TAG Chrysanthemum Wanda Purple 50/50 Pixie Tag SF FUL</t>
  </si>
  <si>
    <t>TAG Chrysanthemum Wanda Red 100/100 Pixie Tag SF</t>
  </si>
  <si>
    <t>TAG Chrysanthemum Wanda Red 50/50 Pixie Tag SF FUL</t>
  </si>
  <si>
    <t>TAG Chrysanthemum Whimsy Yellow 50/50 Petite Portrait DO FUL</t>
  </si>
  <si>
    <t>TAG Chrysanthemum White 100/100 Pixie Tag</t>
  </si>
  <si>
    <t>TAG Chrysanthemum White GENERIC 100/100 Pixie Tag</t>
  </si>
  <si>
    <t>TAG Chrysanthemum Williamsburg Purple 50/50 Pixie Tag SF FUL</t>
  </si>
  <si>
    <t>TAG Chrysanthemum Williamsburg Red 50/50 Pixie Tag SF FUL</t>
  </si>
  <si>
    <t>TAG Chrysanthemum Wilma White 100/100 Pixie Tag SF</t>
  </si>
  <si>
    <t>TAG Chrysanthemum Wilma White 50/50 Pixie Tag SF FUL</t>
  </si>
  <si>
    <t>TAG Chrysanthemum Wilma Yellow 100/100 Pixie Tag SF</t>
  </si>
  <si>
    <t>TAG Chrysanthemum Wilma Yellow 50/50 Pixie Tag SF FUL</t>
  </si>
  <si>
    <t>TAG Chrysanthemum Wonder Yellow 50/50 Petite Portrait DO FUL</t>
  </si>
  <si>
    <t>TAG Chrysanthemum Yellow 100/100 Pixie Tag</t>
  </si>
  <si>
    <t>TAG Chrysanthemum Yellow GENERIC 100/100 Pixie Tag</t>
  </si>
  <si>
    <t>TAG Chrysanthemum Yolanda Yellow 100/100 Pixie Tag SF</t>
  </si>
  <si>
    <t>TAG Chrysanthemum Yolanda Yellow 50/50 Pixie Tag SF FUL</t>
  </si>
  <si>
    <t>TAG Chrysanthemum Yvette Orange Bicolor 50/50 Pixie Tag SF FUL</t>
  </si>
  <si>
    <t>TAG Chrysanthemum Yvette Orange Bicolor 100/100 Pixie Tag SF</t>
  </si>
  <si>
    <t>TAG Chrysanthemum Yvette Yellow 100/100 Pixie Tag SF</t>
  </si>
  <si>
    <t>TAG Chrysanthemum Yvette Yellow 50/50 Pixie Tag SF FUL</t>
  </si>
  <si>
    <t>TAG Chrysanthemum Zelda Yellow 100/100 Pixie Tag SF</t>
  </si>
  <si>
    <t>TAG Chrysanthemum Zelda Yellow 50/50 Pixie Tag SF FUL</t>
  </si>
  <si>
    <t>TAG Chrysogonum Pierre Virginianum 25/25 Portrait Tag</t>
  </si>
  <si>
    <t>TAG Cichory Gourmet Head Type 100/100 Pixie Tag</t>
  </si>
  <si>
    <t>TAG Cichory Gourmet Leaf Type 100/100 Pixie Tag</t>
  </si>
  <si>
    <t>TAG Cimici Brunette Ramosa 25/25 Portrait Tag</t>
  </si>
  <si>
    <t>TAG Cissus Rhombifolia Grape Ivy 100/100 Pixie Tag</t>
  </si>
  <si>
    <t>TAG Citronella Crispum Mosquito Plant 100/100 Pixie Tag</t>
  </si>
  <si>
    <t>TAG Citronella Mosquito Plant 100/100 Pixie Tag</t>
  </si>
  <si>
    <t>TAG Watermelon Rubyfirm 100/100 Pixie Tag</t>
  </si>
  <si>
    <t>TAG Clematis Large Flowered GENERIC 25/25 Portrait Tag</t>
  </si>
  <si>
    <t>TAG Clematis Small Flowered GENERIC 25/25 Portrait Tag</t>
  </si>
  <si>
    <t>TAG Cleome Clementine Series 100/100 Pixie Tag</t>
  </si>
  <si>
    <t>TAG Cleome Clio Magenta 100/100 Pixie Tag</t>
  </si>
  <si>
    <t>TAG Cleome Clio Pink Lady 100/100 Pixie Tag</t>
  </si>
  <si>
    <t>TAG Cleome GENERIC 100/100 Pixie Tag</t>
  </si>
  <si>
    <t>TAG Cleome Queen Cherry 100/100 Pixie Tag</t>
  </si>
  <si>
    <t>TAG Cleome Queen Pink 100/100 Pixie Tag</t>
  </si>
  <si>
    <t>TAG Cleome Queen Purple 100/100 Pixie Tag</t>
  </si>
  <si>
    <t>TAG Cleome Queen Rose 100/100 Pixie Tag</t>
  </si>
  <si>
    <t>TAG Cleome Queen Royal Mix 100/100 Pixie Tag</t>
  </si>
  <si>
    <t>TAG Cleome Queen Violet 100/100 Pixie Tag</t>
  </si>
  <si>
    <t>TAG Cleome Queen White 100/100 Pixie Tag</t>
  </si>
  <si>
    <t>TAG Cleome Sparkler 2 Blush 100/100 Pixie Tag SF</t>
  </si>
  <si>
    <t>TAG Cleome Sparkler 2 Lavender 100/100 Pixie Tag SF</t>
  </si>
  <si>
    <t>TAG Cleome Sparkler 2 Mix 100/100 Pixie Tag SF</t>
  </si>
  <si>
    <t>TAG Cleome Sparkler 2 Purple 100/100 Pixie Tag SF</t>
  </si>
  <si>
    <t>TAG Cleome Sparkler 2 Rose 100/100 Pixie Tag SF</t>
  </si>
  <si>
    <t>TAG Cleome Sparkler 2 White 100/100 Pixie Tag SF</t>
  </si>
  <si>
    <t>TAG Cleome Sparkler Blush 100/100 Pixie Tag SF</t>
  </si>
  <si>
    <t>TAG Cleome Sparkler Lavender 100/100 Pixie Tag SF</t>
  </si>
  <si>
    <t>TAG Cleome Sparkler Mix 100/100 Pixie Tag SF</t>
  </si>
  <si>
    <t>TAG Cleome Sparkler Rose 100/100 Pixie Tag SF</t>
  </si>
  <si>
    <t>TAG Cleome Sparkler White 100/100 Pixie Tag SF</t>
  </si>
  <si>
    <t>TAG Clerodendrum Thomsoniae 25/25 Portrait Tag</t>
  </si>
  <si>
    <t>TAG Coffee Arabica 100/100 Pixie Tag</t>
  </si>
  <si>
    <t>TAG Coleus Alabama 100/100 Pixie Tag</t>
  </si>
  <si>
    <t>TAG Coleus Alabama 50/50 Petite Portrait DO FUL</t>
  </si>
  <si>
    <t>TAG Coleus Alabama Sunset 100/100 Pixie Tag</t>
  </si>
  <si>
    <t>TAG Coleus Allspice 50/50 Petite Portrait DO FUL</t>
  </si>
  <si>
    <t>TAG Coleus Beauty Of Lyon 100/100 Pixie Tag</t>
  </si>
  <si>
    <t>TAG Coleus Beauty Of Lyon 50/50 Petite Portrait SF FUL</t>
  </si>
  <si>
    <t>TAG Coleus Dragon Black 100/100 Pixie Tag</t>
  </si>
  <si>
    <t>TAG Coleus Black GENERIC 100/100 Pixie Tag</t>
  </si>
  <si>
    <t>TAG Coleus Burgundy Sun 100/100 Pixie Tag</t>
  </si>
  <si>
    <t>TAG Coleus Chocolate Covered Cherry 100/100 Pixie Tag</t>
  </si>
  <si>
    <t>TAG Coleus Chocolate Mint 100/100 Pixie Tag</t>
  </si>
  <si>
    <t>TAG Coleus ColorBlaze Dipt In Wine 100/100 Pixie Tag</t>
  </si>
  <si>
    <t>TAG Coleus Dipt In Wine 50/50 Petite Portrait DO FUL</t>
  </si>
  <si>
    <t>TAG Coleus Kingwood Torch 100/100 Pixie Tag</t>
  </si>
  <si>
    <t>TAG Coleus Kingswood Torch 50/50 Petite Portrait DO FUL</t>
  </si>
  <si>
    <t>TAG Coleus Color Clouds Be Mine 100/100 Pixie Tag</t>
  </si>
  <si>
    <t>TAG Coleus Color Clouds Valentine 100/100 Pixie Tag</t>
  </si>
  <si>
    <t>TAG Coleus Color Pride 100/100 Pixie Tag</t>
  </si>
  <si>
    <t>TAG Coleus Dark Chocolate 100/100 Pixie Tag</t>
  </si>
  <si>
    <t>TAG Coleus Dark Star 100/100 Pixie Tag</t>
  </si>
  <si>
    <t>TAG Coleus Defiance 100/100 Pixie Tag</t>
  </si>
  <si>
    <t>TAG Coelus Down Town Columbus 50/50 Petite Portrait DO FUL</t>
  </si>
  <si>
    <t>TAG Coleus Down Town Dallas 50/50 Petite Portrait DO FUL</t>
  </si>
  <si>
    <t>TAG Coleus DO FULwn Town Greenville 50/50 Petite Portrait DO FUL</t>
  </si>
  <si>
    <t>TAG Coleus Down Town Le Freak 50/50 Petite Portrait DO FUL</t>
  </si>
  <si>
    <t>TAG Coleus DO FULwn Town Miami Magic 50/50 Petite Portrait DO FUL</t>
  </si>
  <si>
    <t>TAG Coleus Down Town Nashville 50/50 Pixie TAG DO FUL</t>
  </si>
  <si>
    <t>TAG Coleus DO FULwn Town NYC Nights 50/50 Petite Portrait DO FUL</t>
  </si>
  <si>
    <t>TAG Coleus Down Town Port Fairy 50/50 Petite Portrait DO FUL</t>
  </si>
  <si>
    <t>TAG Coleus Down Town Portland 50/50 Petite Portrait DO FUL</t>
  </si>
  <si>
    <t>TAG Coleus DO FULwn Town Santa Monica 50/50 Petite Portrait DO FUL</t>
  </si>
  <si>
    <t>TAG Coleus DO FULwn Town Vegas Neon 50/50 Petite Portrait DO FUL</t>
  </si>
  <si>
    <t>TAG Coleus Fairway Series 100/100 Pixie Tag</t>
  </si>
  <si>
    <t>TAG Coleus Fancy Feathers Black 100/100 Pixie Tag</t>
  </si>
  <si>
    <t>TAG Coleus Fancy Feathers Black 50/50 Petite Portrait DO FUL</t>
  </si>
  <si>
    <t>TAG Coleus Fancy Feathers Copper 50/50 Petite Portrait DO FUL</t>
  </si>
  <si>
    <t>TAG Coleus Fancy Feathers Pink 100/100 Pixie Tag</t>
  </si>
  <si>
    <t>TAG Coleus Fancy Feathers Pink 50/50 Petite Portrait DO FUL</t>
  </si>
  <si>
    <t>TAG Coleus Festive Dance 100/100 Pixie Tag</t>
  </si>
  <si>
    <t>TAG Coleus Finger Paint 100/100 Pixie Tag</t>
  </si>
  <si>
    <t>TAG Coleus Fiona 50/50 Petite Portrait DO FUL</t>
  </si>
  <si>
    <t>TAG Coleus Fishnet Stockings 100/100 Pixie Tag</t>
  </si>
  <si>
    <t>TAG Coleus Flying Carpet Shocker 100/100 Pixie Tag</t>
  </si>
  <si>
    <t>TAG Coleus Flying Carpet Thriller 100/100 Pixie Tag</t>
  </si>
  <si>
    <t>TAG Coleus Gay's Delight 100/100 Pixie Tag</t>
  </si>
  <si>
    <t>TAG Coleus Gay's Delight 50/50 Petite Portrait DO FUL</t>
  </si>
  <si>
    <t>TAG Coleus Giant Exhibition Black 100/100 Pixie Tag</t>
  </si>
  <si>
    <t>TAG Coleus Giant Exhibition Lime 100/100 Pixie Tag</t>
  </si>
  <si>
    <t>TAG Coleus Giant Exhibition Mix 100/100 Pixie Tag</t>
  </si>
  <si>
    <t>TAG Coleus Gold Lace 100/100 Pixie Tag</t>
  </si>
  <si>
    <t>TAG Coleus Golden Freckles 100/100 Pixie Tag</t>
  </si>
  <si>
    <t>TAG Coleus Glennis 100/100 Pixie Tag</t>
  </si>
  <si>
    <t>TAG Coleus Globetrotters Gaga 100/100 Pixie Tag</t>
  </si>
  <si>
    <t>TAG Coleus GENERIC 100/100 Hang Tag</t>
  </si>
  <si>
    <t>TAG Coleus GENERIC 25/25 Portrait Tag</t>
  </si>
  <si>
    <t>TAG Coleus Bilingual GENERIC 100/100 Pixie Tag</t>
  </si>
  <si>
    <t>TAG Coleus Great Falls Angel 50/50 Petite Portrait DO FUL</t>
  </si>
  <si>
    <t>TAG Coleus Great Falls Iguazu 50/50 Petite Portrait DO FUL</t>
  </si>
  <si>
    <t>TAG Coleus Great Falls Niagra 50/50 Petite Portrait DO FUL</t>
  </si>
  <si>
    <t>TAG Coleus Great Falls Yosemite 50/50 Petite Portrait DO FUL</t>
  </si>
  <si>
    <t>TAG Coleus Green Lantern 50/50 Petite Portrait DO FUL</t>
  </si>
  <si>
    <t>TAG Coleus Hipsters Jillian 50/50 Petite Portrait DO FUL</t>
  </si>
  <si>
    <t>TAG Coleus Hipsters Piper 50/50 Petite Portrait DO FUL</t>
  </si>
  <si>
    <t>TAG Coleus Hipsters Zooey 50/50 Petite Portrait DO FUL</t>
  </si>
  <si>
    <t>TAG Coleus Kaleidoscope Mix 100/100 Pixie Tag</t>
  </si>
  <si>
    <t>TAG Coleus Kiwi Fern 100/100 Pixie Tag</t>
  </si>
  <si>
    <t>TAG Coleus Kong Empire Mix 100/100 Pixie Tag</t>
  </si>
  <si>
    <t>TAG Coleus Kong Jr Green Halo 100/100 Pixie Tag</t>
  </si>
  <si>
    <t>TAG Coleus Kong Jr Lime Vein 100/100 Pixie Tag</t>
  </si>
  <si>
    <t>TAG Coleus Kong Jr Rose 100/100 Pixie Tag</t>
  </si>
  <si>
    <t>TAG Coleus Kong Jr Scarlet 100/100 Pixie Tag</t>
  </si>
  <si>
    <t>TAG Coleus Kong Lime Sprite 100/100 Pixie Tag</t>
  </si>
  <si>
    <t>TAG Coleus Kong Mosaic 100/100 Pixie Tag</t>
  </si>
  <si>
    <t>TAG Coleus Kong Red 100/100 Pixie Tag</t>
  </si>
  <si>
    <t>TAG Coleus Kong Rose 100/100 Pixie Tag</t>
  </si>
  <si>
    <t>TAG Coleus Kong Salmon Pink 100/100 Pixie Tag</t>
  </si>
  <si>
    <t>TAG Coleus Kong Scarlet 100/100 Pixie Tag</t>
  </si>
  <si>
    <t>TAG Coleus Kong Series 100/100 Pixie Tag</t>
  </si>
  <si>
    <t>TAG Coleus Lavish Lime 50/50 Petite Portrait DO FUL</t>
  </si>
  <si>
    <t>TAG Coleus Le Freak 50/50 Petite Portrait DO FUL</t>
  </si>
  <si>
    <t>TAG Coleus Lifelime 100/100 Pixie Tag</t>
  </si>
  <si>
    <t>TAG Coleus Lime 100/100 Pixie Tag</t>
  </si>
  <si>
    <t>TAG Coleus Lovebird 50/50 Petite Portrait DO FUL</t>
  </si>
  <si>
    <t>TAG Coleus Macaw 50/50 Petite Portrait DO FUL</t>
  </si>
  <si>
    <t>TAG Coleus Maharaja 50/50 Petite Portrait DO FUL</t>
  </si>
  <si>
    <t>TAG Coleus Mezmerize Series 100/100 Pixie Tag</t>
  </si>
  <si>
    <t>TAG Coleus Mighty Mosaic 100/100 Pixie Tag</t>
  </si>
  <si>
    <t>TAG Coleus Main Street Abbey Road 50/50 Petite Portrait DO FUL</t>
  </si>
  <si>
    <t>TAG Coleus Main Street Alligator Alley 50/50 Petite Portrait DO FUL</t>
  </si>
  <si>
    <t>TAG Coleus Main Street Ashbury 50/50 Petite Portrait DO FUL</t>
  </si>
  <si>
    <t>TAG Coleus Main Street Beale Street 50/50 Petite Portrait DO FUL</t>
  </si>
  <si>
    <t>TAG Coleus Main Street Bourbon Street 50/50 Petite Portrait DO FUL</t>
  </si>
  <si>
    <t>TAG Coleus Main Street Broad St 50/50 Petite Portrait DO FUL</t>
  </si>
  <si>
    <t>TAG Coleus Main Street Chartres Street 50/50 Petite Portrait DO FUL</t>
  </si>
  <si>
    <t>TAG Coleus Main Street Fifth Avenue 100/100 Pixie Tag</t>
  </si>
  <si>
    <t>TAG Coleus Main Street Fifth Avenue 50/50 Petite Portrait DO FUL</t>
  </si>
  <si>
    <t>TAG Coleus Main Street Fiori Square 50/50 Petite Portrait DO FUL</t>
  </si>
  <si>
    <t>TAG Coleus Main Street La Rambla 50/50 Petite Portrait DO FUL</t>
  </si>
  <si>
    <t>TAG Coelus Main Street Lombard Street 50/50 Petite Portrait DO FUL</t>
  </si>
  <si>
    <t>TAG Coleus Main Street Michigan Avenue 50/50 Petite Portrait DO FUL</t>
  </si>
  <si>
    <t>TAG Coleus Main Street Ocean Drive 50/50 Petite Portrait DO FUL</t>
  </si>
  <si>
    <t>TAG Coleus Main Street Orchard Red 50/50 Petite Portrait DO FUL</t>
  </si>
  <si>
    <t>TAG Coleus Oxford Street 50/50 Petite Portrait DO FUL</t>
  </si>
  <si>
    <t>TAG Coleus Main Street Portage Avenue 50/50 Petite Portrait DO FUL</t>
  </si>
  <si>
    <t>TAG Coleus Main Street River Walk 100/100 Pixie Tag</t>
  </si>
  <si>
    <t>TAG Coleus Main Street River Walk 50/50 Petite Portrait DO FUL</t>
  </si>
  <si>
    <t>TAG Coleus Main Street Ruby Red 50/50 Petite Portrait DO FUL</t>
  </si>
  <si>
    <t>TAG Coleus Main Street Sunset Boulevard 50/50 Petite Portrait DO FUL</t>
  </si>
  <si>
    <t>TAG Coleus Main Street Times Square 50/50 Petite Portrait DO FUL</t>
  </si>
  <si>
    <t>TAG Coleus Main Street Venice Boulevard 50/50 Petite Portrait DO FUL</t>
  </si>
  <si>
    <t>TAG Coleus Main Street Wall Street 50/50 Petite Portrait DO FUL</t>
  </si>
  <si>
    <t>TAG Coleus Main Street Yonge Street 50/50 Petite Portrait DO FUL</t>
  </si>
  <si>
    <t>TAG Coleus Multicolor GENERIC 100/100 Pixie Tag</t>
  </si>
  <si>
    <t>TAG Coleus Nova Mad Medusa 100/100 Pixie Tag</t>
  </si>
  <si>
    <t>TAG Coleus Nova Red Flare 100/100 Pixie Tag</t>
  </si>
  <si>
    <t>TAG Coleus Nova Roly Poly 100/100 Pixie Tag</t>
  </si>
  <si>
    <t>TAG Coleus Ox Blood 100/100 Pixie Tag</t>
  </si>
  <si>
    <t>TAG Coleus PartyTime Lime 100/100 Pixie Tag</t>
  </si>
  <si>
    <t>TAG Coleus PartyTime Pink Berry 100/100 Pixie Tag</t>
  </si>
  <si>
    <t>TAG Coleus PartyTime Pink Fizz 100/100 Pixie Tag</t>
  </si>
  <si>
    <t>TAG Coleus PartyTime Reggae Salmon 100/100 Pixie Tag</t>
  </si>
  <si>
    <t>TAG Coleus PartyTime Ruby Punch 100/100 Pixie Tag</t>
  </si>
  <si>
    <t>TAG Coleus Peter's Wonder 100/100 Pixie Tag</t>
  </si>
  <si>
    <t>TAG Coleus Pineapple 100/100 Pixie Tag</t>
  </si>
  <si>
    <t>TAG Coleus Pineapple Beauty 100/100 Pixie Tag</t>
  </si>
  <si>
    <t>TAG Coleus Pineapple Surprise 100/100 Pixie Tag</t>
  </si>
  <si>
    <t>TAG Coleus Pineapplette 100/100 Pixie Tag</t>
  </si>
  <si>
    <t>TAG Coleus Premium Sun Coral Candy 100/100 Pixie Tag</t>
  </si>
  <si>
    <t>TAG Coleus Premium Sun Crimson Gold 100/100 Pixie Tag</t>
  </si>
  <si>
    <t>TAG Coleus Premium Sun Lime Delight 100/100 Pixie Tag</t>
  </si>
  <si>
    <t>TAG Coleus Premium Sun Ruby Heart 100/100 Pixie Tag</t>
  </si>
  <si>
    <t>TAG Coleus Premium Sun Watermelon 100/100 Pixie Tag</t>
  </si>
  <si>
    <t>TAG Coleus Quetzal 50/50 Petite Portrait DO FUL</t>
  </si>
  <si>
    <t>TAG Coleus Rainbow Mix 100/100 Pixie Tag</t>
  </si>
  <si>
    <t>TAG Coleus Rainbow Multicolor 100/100 Pixie Tag</t>
  </si>
  <si>
    <t>TAG Coleus Red Ruffles 100/100 Pixie Tag</t>
  </si>
  <si>
    <t>TAG Coleus Red Velvet 100/100 Pixie Tag</t>
  </si>
  <si>
    <t>TAG Coleus Roaring Fire 100/100 Pixie Tag</t>
  </si>
  <si>
    <t>TAG Coleus Rodeo Drive 50/50 Petite Portrait DO FUL</t>
  </si>
  <si>
    <t>TAG Coleus Rustic Orange 25/25 Portrait Tag</t>
  </si>
  <si>
    <t>TAG Coleus Stained Glassworks Big Blonde 50/50 Petite Portrait DO FUL</t>
  </si>
  <si>
    <t>TAG Coleus Stained Glassworks Copper 50/50 Petite Portrait DO FUL</t>
  </si>
  <si>
    <t>TAG Coleus Stained Glassworks Crown Jewel 50/50 Petite Portrait DO FUL</t>
  </si>
  <si>
    <t>TAG Coleus Stained Glassworks Eruption CR3858 50/50 Petite Portrait DO FUL</t>
  </si>
  <si>
    <t>TAG Coleus Stained Glassworks Eruption 50/50 Petite Portrait DO FUL</t>
  </si>
  <si>
    <t>TAG Coleus Stained Glassworks Flashbulb 50/50 Petite Portrait DO FUL</t>
  </si>
  <si>
    <t>TAG Coleus Stained Glassworks Golden Gate 50/50 Petite Portrait DO FUL</t>
  </si>
  <si>
    <t>TAG Coleus Stained Glassworks Kiwi 50/50 Petite Portrait DO FUL</t>
  </si>
  <si>
    <t>TAG Coleus Stained Glassworks Luminesce 50/50 Petite Portrait DO FUL</t>
  </si>
  <si>
    <t>TAG Coleus Stained Glassworks Pineapple Express 50/50 Petite Portrait DO FUL</t>
  </si>
  <si>
    <t>TAG Coleus Stained Glassworks Presidio 50/50 Petite Portrait DO FUL</t>
  </si>
  <si>
    <t>TAG Coleus Stained Glassworks Raspberry Tart 50/50 Petite Portrait DO FUL</t>
  </si>
  <si>
    <t>TAG Coleus Stained Glassworks Royalty 50/50 Petite Portrait DO FUL</t>
  </si>
  <si>
    <t>TAG Coleus Stained Glassworks Tilt A Whirl 50/50 Petite Portrait DO FUL</t>
  </si>
  <si>
    <t>TAG Coleus Stained Glassworks Trailing Monarch 50/50 Petite Portrait DO FUL</t>
  </si>
  <si>
    <t>TAG Coleus Stained Glassworks Trailing Plum 50/50 Petite Portrait DO FUL</t>
  </si>
  <si>
    <t>TAG Coleus Stained Glassworks Velvet 50/50 Petite Portrait DO FUL</t>
  </si>
  <si>
    <t>TAG Coleus Sky Fire 100/100 Pixie Tag</t>
  </si>
  <si>
    <t>TAG Coleus Solar Bilingual GENERIC 100/100 Pixie Tag</t>
  </si>
  <si>
    <t>TAG Coleus Solar Sunrise 100/100 Pixie Tag</t>
  </si>
  <si>
    <t>TAG Coleus Splish Splash Rose Gold 50/50 Petite Portrait DO FUL</t>
  </si>
  <si>
    <t>TAG Coleus Sun Lover GENERIC 100/100 Pixie Tag</t>
  </si>
  <si>
    <t>TAG Coleus Sunset 100/100 Pixie Tag</t>
  </si>
  <si>
    <t>TAG Coleus Superfine Rainbow Mix 100/100 Pixie Tag</t>
  </si>
  <si>
    <t>TAG Coleus Talavera Burgundy Lime 50/50 Petite Portrait SF FUL</t>
  </si>
  <si>
    <t>TAG Coleus Talavera Chocolate Mint 50/50 Petite Portrait SF FUL</t>
  </si>
  <si>
    <t>TAG Coleus Talavera Chocolate Velvet 50/50 Petite Portrait SF FUL</t>
  </si>
  <si>
    <t>TAG Coleus Talavera Moondust 50/50 Petite Portrait SF FUL</t>
  </si>
  <si>
    <t>TAG Coleus Talavera Pink Tricolor 50/50 Petite Portrait SF FUL</t>
  </si>
  <si>
    <t>TAG Coleus Talavera Sienna 50/50 Petite Portrait SF FUL</t>
  </si>
  <si>
    <t>TAG Coleus Terra Nova Burgundy Flgr 100/100 Pixie Tag</t>
  </si>
  <si>
    <t>TAG Coleus Terra Nova Electric Slide 100/100 Pixie Tag</t>
  </si>
  <si>
    <t>TAG Coleus Terra Nova Electric Slide 50/50 Petite Portrait DO FUL</t>
  </si>
  <si>
    <t>TAG Coleus Terra Nova Green Lantern 100/100 Pixie Tag</t>
  </si>
  <si>
    <t>TAG Coleus Terra Nova Lovebird 100/100 Pixie Tag</t>
  </si>
  <si>
    <t>TAG Coleus Terra Nova Lumen 100/100 Pixie Tag</t>
  </si>
  <si>
    <t>TAG Coleus Terra Nova Magic Spell 100/100 Pixie Tag</t>
  </si>
  <si>
    <t>TAG Coleus Terra Nova Marrakesh 100/100 Pixie Tag</t>
  </si>
  <si>
    <t>TAG Coleus Terra Nova Monkey Puzzle 100/100 Pixie Tag</t>
  </si>
  <si>
    <t>TAG Coleus Terra Nova Nutmeg 100/100 Pixie Tag</t>
  </si>
  <si>
    <t>TAG Coleus Terra Nova Peach Julep 100/100 Pixie Tag</t>
  </si>
  <si>
    <t>TAG Coleus Terra Nova Persia 100/100 Pixie Tag</t>
  </si>
  <si>
    <t>TAG Coleus Terra Nova Pink Poodle 100/100 Pixie Tag</t>
  </si>
  <si>
    <t>TAG Coleus Terra Nova Red Ripple 100/100 Pixie Tag</t>
  </si>
  <si>
    <t>TAG Coleus Terra Nova Ruby Filigree 100/100 Pixie Tag</t>
  </si>
  <si>
    <t>TAG Coleus Terra Nova Scarlet Ibis 100/100 Pixie Tag</t>
  </si>
  <si>
    <t>TAG Coleus Terrascape Series 100/100 Pixie Tag</t>
  </si>
  <si>
    <t>TAG Coleus Tidbits Tammy 100/100 Pixie Tag</t>
  </si>
  <si>
    <t>TAG Coleus Tidbits Timmy 100/100 Pixie Tag</t>
  </si>
  <si>
    <t>TAG Coleus Trailing Plum 100/100 Pixie Tag</t>
  </si>
  <si>
    <t>TAG Coleus Vegetative GENERIC 25/25 Portrait Tag</t>
  </si>
  <si>
    <t>TAG Coleus Versa Rose To Lime 100/100 Pixie Tag</t>
  </si>
  <si>
    <t>TAG Coleus Watermelon 100/100 Pixie Tag</t>
  </si>
  <si>
    <t>TAG Coleus Wedding Train 100/100 Pixie Tag</t>
  </si>
  <si>
    <t>TAG Coleus Wildlime 100/100 Pixie Tag</t>
  </si>
  <si>
    <t>TAG Coleus Wildfire Blaze 100/100 Pixie Tag</t>
  </si>
  <si>
    <t>TAG Coleus Wildfire Blaze 50/50 Petite Portrait DO FUL</t>
  </si>
  <si>
    <t>TAG Coleus Wildfire Flicker 100/100 Pixie Tag</t>
  </si>
  <si>
    <t>TAG Coleus Wildfire Ignition 50/50 Petite Portrait DO FUL</t>
  </si>
  <si>
    <t>TAG Coleus Wildfire Smoky Rose 100/100 Pixie Tag</t>
  </si>
  <si>
    <t>TAG Coleus Wildfire Smoky Rose 50/50 Petite Portrait DO FUL</t>
  </si>
  <si>
    <t>TAG Coleus Wizard Coral Sunrise 100/100 Pixie Tag</t>
  </si>
  <si>
    <t>TAG Coleus Wizard Jade 100/100 Pixie Tag</t>
  </si>
  <si>
    <t>TAG Coleus Wizard Mix 100/100 Pixie Tag</t>
  </si>
  <si>
    <t>TAG Coleus Wizard Mosaic 100/100 Pixie Tag</t>
  </si>
  <si>
    <t>TAG Coleus Wizard Pastel 100/100 Pixie Tag</t>
  </si>
  <si>
    <t>TAG Coleus Wizard Pineapple 100/100 Pixie Tag</t>
  </si>
  <si>
    <t>TAG Coleus Wizard Red 100/100 Pixie Tag</t>
  </si>
  <si>
    <t>TAG Coleus Wizard Rose 100/100 Pixie Tag</t>
  </si>
  <si>
    <t>TAG Coleus Wizard Scarlet 100/100 Pixie Tag</t>
  </si>
  <si>
    <t>TAG Coleus Wizard Sun Golden 100/100 Pixie Tag</t>
  </si>
  <si>
    <t>TAG Coleus Wizard Sun Sunset 100/100 Pixie Tag</t>
  </si>
  <si>
    <t>TAG Coleus Wizard Sun Velvet Red 100/100 Pixie Tag</t>
  </si>
  <si>
    <t>TAG Coleus Yellow GENERIC 100/100 Pixie Tag</t>
  </si>
  <si>
    <t>TAG Collard Greens Vates 100/100 Pixie Tag</t>
  </si>
  <si>
    <t>TAG Collard Greens GENERIC 100/100 Pixie Tag</t>
  </si>
  <si>
    <t>TAG Collard Greens Georgia 100/100 Pixie Tag</t>
  </si>
  <si>
    <t>TAG Collard Greens Morris Heading 100/100 Pixie Tag</t>
  </si>
  <si>
    <t>TAG Collard Greens Tiger 100/100 Pixie Tag</t>
  </si>
  <si>
    <t>TAG Collard Greens Top Bunch 100/100 Pixie Tag</t>
  </si>
  <si>
    <t>TAG Colocasia Black Magic 25/25 Portrait Tag</t>
  </si>
  <si>
    <t>TAG Colocasia Elephant Ear GENERIC 25/25 Portrait Tag</t>
  </si>
  <si>
    <t>TAG Colocasia Esculenta GENERIC 100/100 Pixie Tag</t>
  </si>
  <si>
    <t>TAG Colocasia Illustris 25/25 Portrait Tag</t>
  </si>
  <si>
    <t>TAG Combo Garden Party Abigail 50/50 Petite Portrait DO FUL</t>
  </si>
  <si>
    <t>TAG Combo Garden Party Alisa 50/50 Petite Portrait DO FUL</t>
  </si>
  <si>
    <t>TAG Combo Garden Party Birthday Party 50/50 Petite Portrait DO FUL</t>
  </si>
  <si>
    <t>TAG Combo Garden Party Brogan 50/50 Petite Portrait DO FUL</t>
  </si>
  <si>
    <t>TAG Combo Garden Party Christa 50/50 Petite Portrait DO FUL</t>
  </si>
  <si>
    <t>TAG Combo Garden Party Christine 50/50 Petite Portrait DO FUL</t>
  </si>
  <si>
    <t>TAG Combo Garden Party Combo 50/50 Petite Portrait DO FUL</t>
  </si>
  <si>
    <t>TAG Combo Garden Party Combo Garden 50/50 Petite Portrait DO FUL</t>
  </si>
  <si>
    <t>TAG Combo Garden Party Diane 50/50 Petite Portrait DO FUL</t>
  </si>
  <si>
    <t>TAG Combo Garden Party Emily 50/50 Petite Portrait DO FUL</t>
  </si>
  <si>
    <t>TAG Combo Garden Party Jennifer 50/50 Petite Portrait DO FUL</t>
  </si>
  <si>
    <t>TAG Combo Garden Party Jenny 50/50 Petite Portrait DO FUL</t>
  </si>
  <si>
    <t>TAG Combo Garden Party Kate 50/50 Petite Portrait DO FUL</t>
  </si>
  <si>
    <t>TAG Combo Garden Party Lindsay 50/50 Petite Portrait DO FUL</t>
  </si>
  <si>
    <t>TAG Combo Garden Party Nikki 50/50 Petite Portrait DO FUL</t>
  </si>
  <si>
    <t>TAG Combo Garden Party Pool Party 50/50 Petite Portrait DO FUL</t>
  </si>
  <si>
    <t>TAG Combo Garden Party Rebecca 50/50 Petite Portrait DO FUL</t>
  </si>
  <si>
    <t>TAG Combo Garden Party Sonja 50/50 Petite Portrait DO FUL</t>
  </si>
  <si>
    <t>TAG Combo Garden Party Tea Party 50/50 Petite Portrait DO FUL</t>
  </si>
  <si>
    <t>TAG Combo Garden Party Valorie 50/50 Petite Portrait DO FUL</t>
  </si>
  <si>
    <t>TAG Combo Garden Party Yellow Balloons 50/50 Petite Portrait DO FUL</t>
  </si>
  <si>
    <t>TAG Combo Verbena Estrella Sangria Mix 50/50 Petite Portrait DO FUL</t>
  </si>
  <si>
    <t>TAG Combo Vibe Good Vibrations 50/50 Petite Portrait DO FUL</t>
  </si>
  <si>
    <t>TAG Confetti Garden Aloha Kona Colorplay 50/50 Petite Portrait DO FUL</t>
  </si>
  <si>
    <t>TAG Confetti Garden Aloha Kona Hawaiian Color Clash 50/50 Petite Portrait DO FUL</t>
  </si>
  <si>
    <t>TAG Confetti Garden Aloha Kona Hawaiian Country 50/50 Petite Portrait DO FUL</t>
  </si>
  <si>
    <t>TAG Confetti Garden Aloha Kona Hawaiian Fruit Bowl 50/50 Petite Portrait DO FUL</t>
  </si>
  <si>
    <t>TAG Confetti Garden Aloha Kona Hawaiian Gold 50/50 Petite Portrait DO FUL</t>
  </si>
  <si>
    <t>TAG Confetti Garden Aloha Kona Hawaiian Hoku Star 50/50 Petite Portrait DO FUL</t>
  </si>
  <si>
    <t>TAG Confetti Garden Aloha Kona Hawaiin Hilo 50/50 Petite Portrait DO FUL</t>
  </si>
  <si>
    <t>TAG Confetti Aloha Kona Hawaiian Hula 50/50 Petite Portrait DO FUL</t>
  </si>
  <si>
    <t>TAG Confetti Garden Aloha Kona Hawaiian Hula Lilli 50/50 Petite Portrait DO FUL</t>
  </si>
  <si>
    <t>TAG Confetti Garden Aloha Kona Hawaiian Kalani 50/50 Petite Portrait DO FUL</t>
  </si>
  <si>
    <t>TAG Confetti Garden Aloha Kona Hawaiian Kona Flamingo 50/50 Petite Portrait DO FUL</t>
  </si>
  <si>
    <t>TAG Confetti Garden Aloha Kona Hawaiian Luau 50/50 Petite Portrait DO FUL</t>
  </si>
  <si>
    <t>TAG Confetti Garden Aloha Kona Mahalo 50/50 Petite Portrait DO FUL</t>
  </si>
  <si>
    <t>TAG Confetti Aloha Kona Hawaiian Mai Tai 50/50 Petite Portrait DO FUL</t>
  </si>
  <si>
    <t>TAG Confetti Garden Aloha Kona Hawaiian Ohana 50/50 Petite Portrait DO FUL</t>
  </si>
  <si>
    <t>TAG Confetti Garden Aloha Kona Hawaiian Pink Fusion 50/50 Petite Portrait DO FUL</t>
  </si>
  <si>
    <t>TAG Confetti Garden Aloha Kona Hawaiian Sailaway 50/50 Petite Portrait DO FUL</t>
  </si>
  <si>
    <t>TAG Confetti Aloha Kona Hawaiian Sunfish 50/50 Petite Portrait DO FUL</t>
  </si>
  <si>
    <t>TAG Confetti Garden Aloha Kona Hawaiian Vulcano Kea 50/50 Petite Portrait DO FUL</t>
  </si>
  <si>
    <t>TAG Confetti Garden Aloha Nani Hawaiian Nani Country 50/50 Petite Portrait DO FUL</t>
  </si>
  <si>
    <t>TAG Confetti Garden Aloha Nani Hawaiian Nani Hoku Star 50/50 Petite Portrait DO FUL</t>
  </si>
  <si>
    <t>TAG Confetti Garden Nani Hawaiian Nani Hilo 50/50 Petite Portrait DO FUL</t>
  </si>
  <si>
    <t>TAG Confetti Garden Aloha Kona Hawaiian Nouveau 50/50 Petite Portrait DO FUL</t>
  </si>
  <si>
    <t>TAG Confetti Garden Calibrachoa Hawaiian Nani Pixi Stix 50/50 Petite Portrait DO FUL</t>
  </si>
  <si>
    <t>TAG Confetti Calibrachoa Hawaiian Nani Valentine 50/50 Petite Portrait DO FUL</t>
  </si>
  <si>
    <t>TAG Confetti Garden Angelonia Aria 50/50 Petite Portrait DO FUL</t>
  </si>
  <si>
    <t>TAG Confetti Garden Bahia Coconut Coast 50/50 Petite Portrait DO FUL</t>
  </si>
  <si>
    <t>TAG Confetti Garden Bella Water Colours 50/50 Petite Portrait DO FUL</t>
  </si>
  <si>
    <t>TAG Confetti Garden Bella Water Wheel 50/50 Petite Portrait DO FUL</t>
  </si>
  <si>
    <t>TAG Confetti Garden Bella Waterbury 50/50 Petite Portrait DO FUL</t>
  </si>
  <si>
    <t>TAG Confetti Garden Bella Waterfall 50/50 Petite Portrait DO FUL</t>
  </si>
  <si>
    <t>TAG Confetti Garden Bella Waterloo 50/50 Petite Portrait DO FUL</t>
  </si>
  <si>
    <t>TAG Confetti Garden Bella Waterrose 50/50 Petite Portrait DO FUL</t>
  </si>
  <si>
    <t>TAG Confetti Garden Bidy Compact Fleur De Edna 50/50 Petite Portrait DO FUL</t>
  </si>
  <si>
    <t>TAG Confetti Garden Bidy Compact Nightlights 50/50 Petite Portrait DO FUL</t>
  </si>
  <si>
    <t>TAG Confetti Garden Bidy Compact Pineapple Punch 50/50 Petite Portrait DO FUL</t>
  </si>
  <si>
    <t>TAG Confetti Garden Bidy Nightlights 50/50 Petite Portrait DO FUL</t>
  </si>
  <si>
    <t>TAG Confetti Garden Bidy Pineapple Punch 50/50 Petite Portrait DO FUL</t>
  </si>
  <si>
    <t>TAG Confetti Garden Bloomtastic Summer Sunset 50/50 Petite Portrait DO FUL</t>
  </si>
  <si>
    <t>TAG Confetti Garden Calibrachoa Summer Solstice 50/50 Petite Portrait DO FUL</t>
  </si>
  <si>
    <t>TAG Confetti Bloomtastic Sun Meets The Sky 50/50 Petite Portrait DO FUL</t>
  </si>
  <si>
    <t>TAG Confetti Garden Bloomtastic Trio 50/50 Petite Portrait DO FUL</t>
  </si>
  <si>
    <t>TAG Confetti Garden Brady 50/50 Pixie TAG DO FUL</t>
  </si>
  <si>
    <t>TAG Confetti Garden Calibrachoa Creamsicle 50/50 Petite Portrait DO FUL</t>
  </si>
  <si>
    <t>TAG Confetti Garden Calibrachoa Hawaiian Kaihalulu 50/50 Petite Portrait DO FUL</t>
  </si>
  <si>
    <t>TAG Confetti Garden Calibrachoa Hawaiian Orchid 50/50 Petite Portrait DO FUL</t>
  </si>
  <si>
    <t>TAG Confetti Garden Calibrachoa My Bonnie 50/50 Petite Portrait DO FUL</t>
  </si>
  <si>
    <t>TAG Confetti Garden Calibrachoa My Girlie 50/50 Petite Portrait DO FUL</t>
  </si>
  <si>
    <t>TAG Confetti Garden Calibrachoa My Summer 50/50 Petite Portrait DO FUL</t>
  </si>
  <si>
    <t>TAG Confetti Garden Compact Spring Break 50/50 Petite Portrait DO FUL</t>
  </si>
  <si>
    <t>TAG Confetti Garden Cupcake Cupcake Party 2024 50/50 Petite Portrait DO FUL</t>
  </si>
  <si>
    <t>TAG Confetti Garden Cupcake Party 50/50 Petite Portrait DO FUL</t>
  </si>
  <si>
    <t>TAG Confetti Garden Cupcake Cupcake Smarty Party 50/50 Petite Portrait DO FUL</t>
  </si>
  <si>
    <t>TAG Confetti Garden Duo Aaron 50/50 Pixie TAG DO FUL</t>
  </si>
  <si>
    <t>TAG Confetti Garden Duo Bloomtastic Blossoms 50/50 Petite Portrait DO FUL</t>
  </si>
  <si>
    <t>TAG Confetti Garden Duo Petunia Coral Reef 50/50 Petite Portrait DO FUL</t>
  </si>
  <si>
    <t>TAG Confetti Garden Duo Petunia Dancing Jeans 50/50 Petite Portrait DO FUL</t>
  </si>
  <si>
    <t>TAG Confetti Garden Duo Earth And Fire 50/50 Petite Portrait DO FUL</t>
  </si>
  <si>
    <t>TAG Confetti Garden Duo Gemstone 50/50 Petite Portrait DO FUL</t>
  </si>
  <si>
    <t>TAG Confetti Garden Duo Grande Fuchsia 50/50 Petite Portrait DO FUL</t>
  </si>
  <si>
    <t>TAG Confetti Garden Duo Griffey 50/50 Pixie TAG DO FUL</t>
  </si>
  <si>
    <t>TAG Confetti Garden Duo Petunia Marvelous Orchid 50/50 Petite Portrait DO FUL</t>
  </si>
  <si>
    <t>TAG Confetti Garden Duo Pyxis 50/50 Pixie TAG DO FUL</t>
  </si>
  <si>
    <t>TAG Confetti Garden Duo Petunia Stormy Orchid 50/50 Petite Portrait DO FUL</t>
  </si>
  <si>
    <t>TAG Confetti Garden Duo Petunia Sundance 50/50 Petite Portrait DO FUL</t>
  </si>
  <si>
    <t>TAG Confetti Garden Duo Petunia Twist 50/50 Petite Portrait DO FUL</t>
  </si>
  <si>
    <t>TAG Confetti Garden Duo Vela 50/50 Pixie TAG DO FUL</t>
  </si>
  <si>
    <t>TAG Confetti Garden Duo Volans 50/50 Pixie TAG DO FUL</t>
  </si>
  <si>
    <t>TAG Confetti Garden Duo Williams 50/50 Pixie TAG DO FUL</t>
  </si>
  <si>
    <t>TAG Confetti Garden Early Love 50/50 Petite Portrait DO FUL</t>
  </si>
  <si>
    <t>TAG Confetti Garden Elway 50/50 Pixie TAG DO FUL</t>
  </si>
  <si>
    <t>TAG Confetti Garden Empress Liberty 50/50 Petite Portrait DO FUL</t>
  </si>
  <si>
    <t>TAG Confetti Garden Empress Patriot Sun 50/50 Petite Portrait DO FUL</t>
  </si>
  <si>
    <t>TAG Confetti Empress Sun Kiss American Girl 50/50 Petite Portrait DO FUL</t>
  </si>
  <si>
    <t>TAG Confetti Empress Sun Kiss Maple Leaf 50/50 Petite Portrait DO FUL</t>
  </si>
  <si>
    <t>TAG Confetti Garden Endless Love 50/50 Petite Portrait DO FUL</t>
  </si>
  <si>
    <t>TAG Confetti Garden Endurable Beauty 50/50 Petite Portrait DO FUL</t>
  </si>
  <si>
    <t>TAG Confetti Garden Endurable Cerise 50/50 Petite Portrait DO FUL</t>
  </si>
  <si>
    <t>TAG Confetti Garden Endurable Cherry 50/50 Petite Portrait DO FUL</t>
  </si>
  <si>
    <t>TAG Confetti Garden Endurable Lilac 50/50 Petite Portrait DO FUL</t>
  </si>
  <si>
    <t>TAG Confetti Garden Endurable Pink 50/50 Petite Portrait DO FUL</t>
  </si>
  <si>
    <t>TAG Confetti Garden Endurable Rose 50/50 Petite Portrait DO FUL</t>
  </si>
  <si>
    <t>TAG Confetti Garden Evening Safari 50/50 Petite Portrait DO FUL</t>
  </si>
  <si>
    <t>TAG Confetti Garden Eventide Capricorn 50/50 Pixie TAG DO FUL</t>
  </si>
  <si>
    <t>TAG Confetti Garden Fleur De Edna 50/50 Petite Portrait DO FUL</t>
  </si>
  <si>
    <t>TAG Confetti Garden FloraMia Camouflage 50/50 Petite Portrait DO FUL</t>
  </si>
  <si>
    <t>TAG Confetti Garden Tone On Tone Shocking Sunset 50/50 Petite Portrait DO FUL</t>
  </si>
  <si>
    <t>TAG Confetti Garden Glossy Blueberry 50/50 Petite Portrait DO FUL</t>
  </si>
  <si>
    <t>TAG Confetti Garden Glossy Mango 50/50 Petite Portrait DO FUL</t>
  </si>
  <si>
    <t>TAG Confetti Garden Glossy Sunset 50/50 Petite Portrait DO FUL</t>
  </si>
  <si>
    <t>TAG Confetti Garden Glossy Twilight 50/50 Petite Portrait DO FUL</t>
  </si>
  <si>
    <t>TAG Confetti Garden Golden Arches 50/50 Petite Portrait DO FUL</t>
  </si>
  <si>
    <t>TAG Confetti Garden Havana Havana Summer 50/50 Petite Portrait DO FUL</t>
  </si>
  <si>
    <t>TAG Confetti Garden Leo 50/50 Petite Portrait DO FUL</t>
  </si>
  <si>
    <t>TAG Confetti Garden Main Street Trafalgar Square 50/50 Petite Portrait DO FUL</t>
  </si>
  <si>
    <t>TAG Confetti Garden Mantle 50/50 Petite Portrait DO FUL</t>
  </si>
  <si>
    <t>TAG Confetti Garden Marino 50/50 Pixie TAG DO FUL</t>
  </si>
  <si>
    <t>TAG Confetti Garden Mays 50/50 Petite Portrait DO FUL</t>
  </si>
  <si>
    <t>TAG Confetti Garden Montana 50/50 Pixie TAG DO FUL</t>
  </si>
  <si>
    <t>TAG Confetti Garden My Color Clash 50/50 Petite Portrait DO FUL</t>
  </si>
  <si>
    <t>TAG Confetti Garden Orange Blossom 50/50 Petite Portrait DO FUL</t>
  </si>
  <si>
    <t>TAG Confetti Garden Party Oscar 50/50 Petite Portrait DO FUL</t>
  </si>
  <si>
    <t>TAG Confetti Garden Petunia Ruby Slippers 50/50 Petite Portrait DO FUL</t>
  </si>
  <si>
    <t>TAG Confetti Garden Pink Lemonade 50/50 Petite Portrait DO FUL</t>
  </si>
  <si>
    <t>TAG Confetti Garden Pisces 50/50 Petite Portrait DO FUL</t>
  </si>
  <si>
    <t>TAG Confetti Garden Portulaca Cupcake Night 50/50 Petite Portrait DO FUL</t>
  </si>
  <si>
    <t>TAG Confetti Garden Rainbow Bridge 50/50 Petite Portrait DO FUL</t>
  </si>
  <si>
    <t>TAG Confetti Garden Rainbow Fall Fandango 50/50 Petite Portrait DO FUL</t>
  </si>
  <si>
    <t>TAG Confetti Garden Rainbow Sherbet 50/50 Petite Portrait DO FUL</t>
  </si>
  <si>
    <t>TAG Confetti Garden Rainbow Tiger Tail 50/50 Petite Portrait DO FUL</t>
  </si>
  <si>
    <t>TAG Confetti Garden Robinson 50/50 Petite Portrait DO FUL</t>
  </si>
  <si>
    <t>TAG Confetti Garden Ruth 50/50 Petite Portrait DO FUL</t>
  </si>
  <si>
    <t>TAG Confetti Garden Safari Ivory Coast Safari 50/50 Petite Portrait DO FUL</t>
  </si>
  <si>
    <t>TAG Confetti Garden Safari Outback Safari 50/50 Petite Portrait DO FUL</t>
  </si>
  <si>
    <t>TAG Confetti Garden Safari Sahara Safari 50/50 Petite Portrait DO FUL</t>
  </si>
  <si>
    <t>TAG Confetti Garden Safari Spring Safari 50/50 Petite Portrait DO FUL</t>
  </si>
  <si>
    <t>TAG Confetti Garden Safari Still Water Safari 50/50 Petite Portrait DO FUL</t>
  </si>
  <si>
    <t>TAG Confetti Garden Scala Summer Breeze 50/50 Petite Portrait DO FUL</t>
  </si>
  <si>
    <t>TAG Confetti Garden Serengeti 50/50 Petite Portrait DO FUL</t>
  </si>
  <si>
    <t>TAG Confetti Garden Shocking Purple 50/50 Petite Portrait DO FUL</t>
  </si>
  <si>
    <t>TAG Confetti Garden Shocking Star 50/50 Petite Portrait DO FUL</t>
  </si>
  <si>
    <t>TAG Confetti Garden Coleus Solenostemon Great Falls 50/50 Petite Portrait DO FUL</t>
  </si>
  <si>
    <t>TAG Confetti Garden Sparkle Blue 50/50 Petite Portrait DO FUL</t>
  </si>
  <si>
    <t>TAG Confetti Garden Sparkle Magenta 50/50 Petite Portrait DO FUL</t>
  </si>
  <si>
    <t>TAG Confetti Garden Sparkle Purple 50/50 Petite Portrait DO FUL</t>
  </si>
  <si>
    <t>TAG Confetti Garden Sparkle Red 50/50 Petite Portrait DO FUL</t>
  </si>
  <si>
    <t>TAG Confetti Garden Spring Break 50/50 Petite Portrait DO FUL</t>
  </si>
  <si>
    <t>TAG Confetti Garden Starts And Stripes Glory 50/50 Petite Portrait DO FUL</t>
  </si>
  <si>
    <t>TAG Confetti Garden Stars And Stripes Honor 50/50 Petite Portrait DO FUL</t>
  </si>
  <si>
    <t>TAG Confetti Garden Sunset Blues 50/50 Petite Portrait DO FUL</t>
  </si>
  <si>
    <t>TAG Confetti Garden TikTok Clockworks 50/50 Petite Portrait DO FUL</t>
  </si>
  <si>
    <t>TAG Confetti Garden TikTok Star Ship 50/50 Petite Portrait DO FUL</t>
  </si>
  <si>
    <t>TAG Confetti TikTok Strawberry Twist 50/50 Petite Portrait DO FUL</t>
  </si>
  <si>
    <t>TAG Confetti Garden TikTok Time For Change 50/50 Petite Portrait DO FUL</t>
  </si>
  <si>
    <t>TAG Confetti Garden TikTok Time For Fun 50/50 Petite Portrait DO FUL</t>
  </si>
  <si>
    <t>TAG Confetti Garden TikTok Time For Spring 50/50 Petite Portrait DO FUL</t>
  </si>
  <si>
    <t>TAG Confetti Garden TikTok Time For Summer 50/50 Petite Portrait DO FUL</t>
  </si>
  <si>
    <t>TAG Confetti Garden TikTok Time Travel 50/50 Petite Portrait DO FUL</t>
  </si>
  <si>
    <t>TAG Confetti Garden Time After Time 50/50 Petite Portrait DO FUL</t>
  </si>
  <si>
    <t>TAG Confetti Garden Time Flies 50/50 Petite Portrait DO FUL</t>
  </si>
  <si>
    <t>TAG Confetti Garden Time For Blastoff 50/50 Petite Portrait DO FUL</t>
  </si>
  <si>
    <t>TAG Confetti Garden Tone On Tone Bel Air Red 50/50 Petite Portrait DO FUL</t>
  </si>
  <si>
    <t>TAG Confetti Tone Blue Skies 50/50 Petite Portrait DO FUL</t>
  </si>
  <si>
    <t>TAG Confetti Garden Tone On Tone Cherries On Top 50/50 Petite Portrait DO FUL</t>
  </si>
  <si>
    <t>TAG Confetti Garden Tone On Tone Cotton Candy 50/50 Petite Portrait DO FUL</t>
  </si>
  <si>
    <t>TAG Confetti Tone Hello Barbie 50/50 Petite Portrait DO FUL</t>
  </si>
  <si>
    <t>TAG Confetti Garden Tone Lady In Red 50/50 Pixie TAG DO FUL</t>
  </si>
  <si>
    <t>TAG Confetti Garden Tone On Tone Rockin' Red 50/50 Petite Portrait DO FUL</t>
  </si>
  <si>
    <t>TAG Confetti Garden Tone On Tone Shocking Pink 50/50 Petite Portrait DO FUL</t>
  </si>
  <si>
    <t>TAG Confetti Garden Tone On Tone Shocking Rose 50/50 Petite Portrait DO FUL</t>
  </si>
  <si>
    <t>TAG Confetti Garden Tone On Tone Shocking Storm 50/50 Petite Portrait DO FUL</t>
  </si>
  <si>
    <t>TAG Confetti Garden Tone On Tone Sunshine 50/50 Petite Portrait DO FUL</t>
  </si>
  <si>
    <t>TAG Confetti Garden Trio Mix Banana Berry Blend 50/50 Petite Portrait DO FUL</t>
  </si>
  <si>
    <t>TAG Confetti Garden Trio Mix Blue Danube 50/50 Petite Portrait DO FUL</t>
  </si>
  <si>
    <t>TAG Confetti Garden Trio Mix Blue Macaw 50/50 Petite Portrait DO FUL</t>
  </si>
  <si>
    <t>TAG Confetti Garden Trio Mix Blaze Of Glory 50/50 Petite Portrait DO FUL</t>
  </si>
  <si>
    <t>TAG Confetti Garden Trio Mix Bling Cherry 50/50 Petite Portrait DO FUL</t>
  </si>
  <si>
    <t>TAG Confetti Trio Mix Blueberry Parfait 50/50 Petite Portrait DO FUL</t>
  </si>
  <si>
    <t>TAG Confetti Garden Trio Mix Berry Cobbler 50/50 Petite Portrait DO FUL</t>
  </si>
  <si>
    <t>TAG Confetti Garden Trio Mix Bunny Tracks 50/50 Petite Portrait DO FUL</t>
  </si>
  <si>
    <t>TAG Confetti Garden Trio Mix Calypso 50/50 Petite Portrait DO FUL</t>
  </si>
  <si>
    <t>TAG Confetti Garden Trio Mix Campfire 50/50 Petite Portrait DO FUL</t>
  </si>
  <si>
    <t>TAG Confetti Garden Trio Mix Denim Blues 50/50 Petite Portrait DO FUL</t>
  </si>
  <si>
    <t>TAG Confetti Garden Trio Mix Easter Basket 50/50 Petite Portrait DO FUL</t>
  </si>
  <si>
    <t>TAG Confetti Garden Trio Mix Fireflash 50/50 Petite Portrait DO FUL</t>
  </si>
  <si>
    <t>TAG Confetti Garden Trio Mix Hunny Bunny 50/50 Petite Portrait DO FUL</t>
  </si>
  <si>
    <t>TAG Confetti Garden Trio Mix La Salute 50/50 Petite Portrait DO FUL</t>
  </si>
  <si>
    <t>TAG Confetti Trio Mix Lover's Point Beach 50/50 Petite Portrait DO FUL</t>
  </si>
  <si>
    <t>TAG Confetti Garden Trio Mix Magenta Star 50/50 Petite Portrait DO FUL</t>
  </si>
  <si>
    <t>TAG Confetti Garden Trio Mix Marvelous Treasure 50/50 Petite Portrait DO FUL</t>
  </si>
  <si>
    <t>TAG Confetti Garden Trio Mix Material Girl 50/50 Petite Portrait DO FUL</t>
  </si>
  <si>
    <t>TAG Confetti Garden Trio Mix Mountains Majesty 50/50 Petite Portrait DO FUL</t>
  </si>
  <si>
    <t>TAG Confetti Garden Trio Mix Northern Lights 50/50 Petite Portrait DO FUL</t>
  </si>
  <si>
    <t>TAG Confetti Garden Trio Mix Oktoberfest 50/50 Petite Portrait DO FUL</t>
  </si>
  <si>
    <t>TAG Confetti Trio Mix Pacific Witch 50/50 Petite Portrait DO FUL</t>
  </si>
  <si>
    <t>TAG Confetti Garden Trio Mix Patriot 50/50 Petite Portrait DO FUL</t>
  </si>
  <si>
    <t>TAG Confetti Garden Trio Mix Pirate's Beauty 50/50 Petite Portrait DO FUL</t>
  </si>
  <si>
    <t>TAG Confetti Garden Trio Mix Playdate 50/50 Petite Portrait DO FUL</t>
  </si>
  <si>
    <t>TAG Confetti Garden Trio Mix Peppermint Candy 50/50 Petite Portrait DO FUL</t>
  </si>
  <si>
    <t>TAG Confetti Garden Trio Mix Purple Cleopatra 50/50 Petite Portrait DO FUL</t>
  </si>
  <si>
    <t>TAG Confetti Garden Trio Mix Purple Halo Mix 50/50 Petite Portrait DO FUL</t>
  </si>
  <si>
    <t>TAG Confetti Garden Trio Mix Fall Pumpkin Spice 50/50 Petite Portrait DO FUL</t>
  </si>
  <si>
    <t>TAG Confetti Garden Trio Mix Raspberry Tart 50/50 Petite Portrait DO FUL</t>
  </si>
  <si>
    <t>TAG Confetti Garden Trio Mix Rockin' Sunset 50/50 Petite Portrait DO FUL</t>
  </si>
  <si>
    <t>TAG Confetti Garden Trio Mix Season Opener 50/50 Petite Portrait DO FUL</t>
  </si>
  <si>
    <t>TAG Confetti Garden Trio Mix Shocking Blue 50/50 Petite Portrait DO FUL</t>
  </si>
  <si>
    <t>TAG Confetti Garden Trio Mix Shocking Touch 50/50 Petite Portrait DO FUL</t>
  </si>
  <si>
    <t>TAG Confetti Garden Trio Mix Spring Love 50/50 Petite Portrait DO FUL</t>
  </si>
  <si>
    <t>TAG Confetti Garden Trio Mix Super Mom 50/50 Petite Portrait DO FUL</t>
  </si>
  <si>
    <t>TAG Confetti Garden Trio Mix Sunny Skies 50/50 Petite Portrait DO FUL</t>
  </si>
  <si>
    <t>TAG Confetti Garden Trio Mix That's Amore 50/50 Petite Portrait DO FUL</t>
  </si>
  <si>
    <t>TAG Confetti Garden Trio Mix Tropical Sunrise 50/50 Petite Portrait DO FUL</t>
  </si>
  <si>
    <t>TAG Confetti Garden Trio Mix True Love 50/50 Petite Portrait DO FUL</t>
  </si>
  <si>
    <t>TAG Confetti Trio Mix Venice Beach 50/50 Petite Portrait DO FUL</t>
  </si>
  <si>
    <t>TAG Confetti Garden Trio Mix Walk In The Clouds 50/50 Petite Portrait DO FUL</t>
  </si>
  <si>
    <t>TAG Confetti Trio Mix White Wedding 50/50 Petite Portrait DO FUL</t>
  </si>
  <si>
    <t>TAG Confetti Garden Trio Mix Heartland 50/50 Petite Portrait DO FUL</t>
  </si>
  <si>
    <t>TAG Confetti Garden Verbena Royal Charm 50/50 Petite Portrait DO FUL</t>
  </si>
  <si>
    <t>TAG Confetti Garden Chrysanthemum Eventide Virgo 50/50 Petite Portrait DO FUL</t>
  </si>
  <si>
    <t>TAG Confetti Garden Waterlily 50/50 Petite Portrait DO FUL</t>
  </si>
  <si>
    <t>TAG Confetti Garden Yellowstone Old Faithful Buffalo 50/50 Pixie TAG DO FUL</t>
  </si>
  <si>
    <t>TAG Confetti Garden Yellowstone Old Faithful Elk 50/50 Pixie TAG DO FUL</t>
  </si>
  <si>
    <t>TAG Confetti Garden Yellowstone Old Faithful Wolf 50/50 Pixie TAG DO FUL</t>
  </si>
  <si>
    <t>TAG Confetti Garden Yolo Glossy Cherry 50/50 Petite Portrait DO FUL</t>
  </si>
  <si>
    <t>TAG Confetti Garden Yolo Glossy Garden 50/50 Petite Portrait DO FUL</t>
  </si>
  <si>
    <t>TAG Confetti Garden Yolo Glossy Grape 50/50 Petite Portrait DO FUL</t>
  </si>
  <si>
    <t>TAG Confetti Garden Yolo Glossy Strawberry 50/50 Petite Portrait DO FUL</t>
  </si>
  <si>
    <t>TAG Convallaria Lily Of The Valley 100/100 Pixie Tag</t>
  </si>
  <si>
    <t>TAG Convallaria Lily Of The Valley 25/25 Portrait Tag</t>
  </si>
  <si>
    <t>TAG Convolvulus GENERIC 100/100 Pixie Tag</t>
  </si>
  <si>
    <t>TAG Coprosmia Looking Glass Plant GENERIC 100/100 Pixie Tag</t>
  </si>
  <si>
    <t>TAG Cordyline Dancing Salsa 25/25 Portrait Tag</t>
  </si>
  <si>
    <t>TAG Cordyline GENERIC 100/100 Pixie Tag</t>
  </si>
  <si>
    <t>TAG Cordyline Red 100/100 Pixie Tag</t>
  </si>
  <si>
    <t>TAG Cordyline Red Sensation 100/100 Pixie Tag</t>
  </si>
  <si>
    <t>TAG Cordyline Red Star 100/100 Pixie Tag</t>
  </si>
  <si>
    <t>TAG Coreopsis American Dream Rosea 25/25 Portrait Tag</t>
  </si>
  <si>
    <t>TAG Coreopsis Andiamo Yellow Red 25/25 Portrait Tag SF</t>
  </si>
  <si>
    <t>TAG Coreopsis Baby Sun 25/25 Portrait Tag</t>
  </si>
  <si>
    <t>TAG Coreopsis Bengal Tiger 25/25 Portrait Tag</t>
  </si>
  <si>
    <t>TAG Coreopsis Big Bang Cosmic Eye 100/100 Pixie Tag DO FUL</t>
  </si>
  <si>
    <t>TAG Coreopsis Big Bang Cosmic Eye 25/25 Portrait Tag</t>
  </si>
  <si>
    <t>TAG Coreopsis Big Bang DO FULl Moon 100/100 Pixie Tag DO FUL</t>
  </si>
  <si>
    <t>TAG Coreopsis Big Bang Full Moon 25/25 Portrait Tag</t>
  </si>
  <si>
    <t>TAG Coreopsis Big Bang Mercury Rising 100/100 Pixie Tag DO FUL</t>
  </si>
  <si>
    <t>TAG Coreopsis Big Bang Mercury Rising 25/25 Portrait Tag</t>
  </si>
  <si>
    <t>TAG Coreopsis Big Bang Polaris 100/100 Pixie Tag DO FUL</t>
  </si>
  <si>
    <t>TAG Coreopsis Big Bang Radioactive 100/100 Pixie Tag DO FUL</t>
  </si>
  <si>
    <t>TAG Coreopsis Big Bang Radioactive Limited Availability 50/50 Petite Portrait DO FUL</t>
  </si>
  <si>
    <t>TAG Coreopsis Bloomsation Chameleon 100/100 Pixie Tag DO FUL</t>
  </si>
  <si>
    <t>TAG Coreopsis Bloomsation Dragon 100/100 Pixie Tag DO FUL</t>
  </si>
  <si>
    <t>TAG Coreopsis Castello Compact Yellow 25/25 Portrait Tag SF</t>
  </si>
  <si>
    <t>TAG Coreopsis Castello Compact Yellow 50/50 Petite Portrait SF FUL</t>
  </si>
  <si>
    <t>TAG Coreopsis Castello Pom Pom Yellow 25/25 Portrait Tag SF</t>
  </si>
  <si>
    <t>TAG Coreopsis Castello Pom Pom Yellow 50/50 Petite Portrait SF FUL</t>
  </si>
  <si>
    <t>TAG Coreopsis Citrine 25/25 Portrait Tag</t>
  </si>
  <si>
    <t>TAG Coreopsis Corey Compact Gold 25/25 Portrait Tag SF</t>
  </si>
  <si>
    <t>TAG Coreopsis Creme Brulee 25/25 Portrait Tag</t>
  </si>
  <si>
    <t>TAG Coreopsis Creme Caramel 25/25 Portrait Tag</t>
  </si>
  <si>
    <t>TAG Coreopsis Desert Coral 25/25 Portrait Tag</t>
  </si>
  <si>
    <t>TAG Coreopsis Double The Sun 25/25 Portrait Tag</t>
  </si>
  <si>
    <t>TAG Coreopsis Early Sunrise 100/100 Pixie Tag</t>
  </si>
  <si>
    <t>TAG Coreopsis Early Sunrise 25/25 Portrait Tag</t>
  </si>
  <si>
    <t>TAG Coreopsis Fall Sensation Amber 100/100 Pixie Tag DO FUL</t>
  </si>
  <si>
    <t>TAG Coreopsis Fall Sensation Quartz 100/100 Pixie Tag DO FUL</t>
  </si>
  <si>
    <t>TAG Coreopsis Fall Sensation Sandstone 100/100 Pixie Tag DO FUL</t>
  </si>
  <si>
    <t>TAG Coreopsis Fall Sensation Sunny Side 100/100 Pixie Tag DO FUL</t>
  </si>
  <si>
    <t>TAG Coreopsis Fall Sensation Vermillion 100/100 Pixie Tag DO FUL</t>
  </si>
  <si>
    <t>TAG Coreopsis Firefly 25/25 Portrait Tag</t>
  </si>
  <si>
    <t>TAG Coreopsis Golden Stardust 25/25 Portrait Tag</t>
  </si>
  <si>
    <t>TAG Coreopsis Honeybunch Red Gold 25/25 Portrait Tag</t>
  </si>
  <si>
    <t>TAG Coreopsis Hybrid Forms GENERIC 25/25 Portrait Tag</t>
  </si>
  <si>
    <t>TAG Coreopsis Jethro Tull 25/25 Portrait Tag</t>
  </si>
  <si>
    <t>TAG Coreopsis Ladybird 25/25 Portrait Tag</t>
  </si>
  <si>
    <t>TAG Coreopsis Leading Lady Charlize 100/100 Pixie Tag DO FUL</t>
  </si>
  <si>
    <t>TAG Coreopsis Leading Lady Charlize Limited Availability 50/50 Petite Portrait DO FUL</t>
  </si>
  <si>
    <t>TAG Coreopsis Leading Lady Iron Lady 100/100 Pixie Tag DO FUL</t>
  </si>
  <si>
    <t>TAG Coreopsis Leading Lady Iron Lady 50/50 Petite Portrait DO FUL</t>
  </si>
  <si>
    <t>TAG Coreopsis Leading Lady Lauren 100/100 Pixie Tag DO FUL</t>
  </si>
  <si>
    <t>TAG Coreopsis Leading Lady Sophia 100/100 Pixie Tag DO FUL</t>
  </si>
  <si>
    <t>TAG Coreopsis Leading Lady Sophia 50/50 Petite Portrait DO FUL</t>
  </si>
  <si>
    <t>TAG Coreopsis Lightning Bug 25/25 Portrait Tag</t>
  </si>
  <si>
    <t>TAG Coreopsis Li'l Bang Candy Strps 100/100 Pixie Tag DO FUL</t>
  </si>
  <si>
    <t>TAG Coreopsis Li'l Bang Candy Stripes 25/25 Portrait Tag</t>
  </si>
  <si>
    <t>TAG Coreopsis Li'l Bang Darling Clementine 100/100 Pixie Tag DO FUL</t>
  </si>
  <si>
    <t>TAG Coreopsis Li'l Bang Darling Clementine 25/25 Portrait Tag</t>
  </si>
  <si>
    <t>TAG Coreopsis Li'l Bang Daybreak 100/100 Pixie Tag DO FUL</t>
  </si>
  <si>
    <t>TAG Coreopsis Li'l Bang Daybreak 25/25 Portrait Tag</t>
  </si>
  <si>
    <t>TAG Coreopsis Li'l Bang Enchanted Eve 100/100 Pixie Tag DO FUL</t>
  </si>
  <si>
    <t>TAG Coreopsis Li'l Bang Enchant Eve 25/25 Portrait Tag</t>
  </si>
  <si>
    <t>TAG Coreopsis Li'l Bang Red Enchanted Eve 50/50 Petite Portrait DO FUL</t>
  </si>
  <si>
    <t>TAG Coreopsis Li'l Bang Fire Wheel 100/100 Pixie Tag DO FUL</t>
  </si>
  <si>
    <t>TAG Coreopsis Li'l Bang Firewheel 25/25 Portrait Tag</t>
  </si>
  <si>
    <t>TAG Coreopsis Li'l Bang Goldilocks 100/100 Pixie Tag DO FUL</t>
  </si>
  <si>
    <t>TAG Coreopsis Li'l Bang Goldilocks 25/25 Portrait Tag</t>
  </si>
  <si>
    <t>TAG Coreopsis Li'l Bang Orange Elf 100/100 Pixie Tag DO FUL</t>
  </si>
  <si>
    <t>TAG Coreopsis Li'l Bang Red Elf 100/100 Pixie Tag DO FUL</t>
  </si>
  <si>
    <t>TAG Coreopsis Li'l Bang Red Elf 25/25 Portrait Tag</t>
  </si>
  <si>
    <t>TAG Coreopsis Li'l Bang Starlight 100/100 Pixie Tag DO FUL</t>
  </si>
  <si>
    <t>TAG Coreopsis Li'l Bang Starlight 25/25 Portrait Tag</t>
  </si>
  <si>
    <t>TAG Coreopsis Li'l Bang Starstruck 100/100 Pixie Tag DO FUL</t>
  </si>
  <si>
    <t>TAG Coreopsis Li'l Bang Starstruck 25/25 Portrait Tag</t>
  </si>
  <si>
    <t>TAG Coreopsis Limoncello 100/100 Pixie Tag DO FUL</t>
  </si>
  <si>
    <t>TAG Coreopsis Moonbeam 100/100 Pixie Tag</t>
  </si>
  <si>
    <t>TAG Coreopsis Moonbeam 25/25 Portrait Tag</t>
  </si>
  <si>
    <t>TAG Coreopsis Moonbeam 50/50 Petite Portrait DO FUL</t>
  </si>
  <si>
    <t>TAG Coreopsis Moonbeam CN5045 100/100 Pixie Tag DO FUL</t>
  </si>
  <si>
    <t>TAG Coreopsis MoonSwirl 100/100 Pixie Tag DO FUL</t>
  </si>
  <si>
    <t>TAG Coreopsis Nana 100/100 Pixie Tag DO FUL</t>
  </si>
  <si>
    <t>TAG Coreopsis Nana Auriculata 25/25 Portrait Tag</t>
  </si>
  <si>
    <t>TAG Coreopsis Nova Jewel 25/25 Portrait Tag</t>
  </si>
  <si>
    <t>TAG Coreopsis PermaThread Butter Rum 100/100 Pixie Tag DO FUL</t>
  </si>
  <si>
    <t>TAG Coreopsis PermaThread Red Satin 100/100 Pixie Tag DO FUL</t>
  </si>
  <si>
    <t>TAG Coreopsis PermaThread Red Satin 25/25 Portrait Tag</t>
  </si>
  <si>
    <t>TAG Coreopsis PermaThread Shades Of Rose 100/100 Pixie Tag DO FUL</t>
  </si>
  <si>
    <t>TAG Coreopsis PermaThread Shades Of Rose 50/50 Petite Portrait DO FUL</t>
  </si>
  <si>
    <t>TAG Coreopsis PermaThread Sweet Tart 100/100 Pixie Tag DO FUL</t>
  </si>
  <si>
    <t>TAG Coreopsis Presto 25/25 Portrait Tag</t>
  </si>
  <si>
    <t>TAG Coreopsis Reina Gold 25/25 Portrait Tag</t>
  </si>
  <si>
    <t>TAG Coreopsis Reina Single Giant Gold 25/25 Portrait Tag</t>
  </si>
  <si>
    <t>TAG Coreopsis Rising Sun 25/25 Portrait Tag</t>
  </si>
  <si>
    <t>TAG Coreopsis Ruby Frost 25/25 Portrait Tag</t>
  </si>
  <si>
    <t>TAG Coreopsis Satin And Lace Berry Chiffon 100/100 Pixie Tag DO FUL</t>
  </si>
  <si>
    <t>TAG Coreopsis Satin And Lace Berry Chiffon 25/25 Portrait Tag</t>
  </si>
  <si>
    <t>TAG Coreopsis Satin And Lace Red Chiffon 100/100 Pixie Tag DO FUL</t>
  </si>
  <si>
    <t>TAG Coreopsis Satin And Lace Red Chiffon 25/25 Portrait Tag</t>
  </si>
  <si>
    <t>TAG Coreopsis Satin And Lace Red Tapestry 100/100 Pixie Tag DO FUL</t>
  </si>
  <si>
    <t>TAG Coreopsis Satin And Lace Red Tapestry 25/25 Portrait Tag</t>
  </si>
  <si>
    <t>TAG Coreopsis Solanna Bright Touch 25/25 Portrait Tag</t>
  </si>
  <si>
    <t>TAG Coreopsis Solanna Glow 25/25 Portrait Tag</t>
  </si>
  <si>
    <t>TAG Coreopsis Solanna Golden Crown 25/25 Portrait Tag</t>
  </si>
  <si>
    <t>TAG Coreopsis Solanna Golden Sphere 25/25 Portrait Tag</t>
  </si>
  <si>
    <t>TAG Coreopsis Solanna Series 100/100 Pixie Tag</t>
  </si>
  <si>
    <t>TAG Coreopsis Solanna Sunset Bright 25/25 Portrait Tag</t>
  </si>
  <si>
    <t>TAG Coreopsis Solanna Sunset Burst 25/25 Portrait Tag</t>
  </si>
  <si>
    <t>TAG Coreopsis Solanna Sunshine 25/25 Portrait Tag</t>
  </si>
  <si>
    <t>TAG Coreopsis Solanna Yellow Touch 25/25 Portrait Tag</t>
  </si>
  <si>
    <t>TAG Coreopsis Sunbright 50/50 Petite Portrait DO FUL</t>
  </si>
  <si>
    <t>TAG Coreopsis Sunfire 25/25 Portrait Tag</t>
  </si>
  <si>
    <t>TAG Coreopsis Sunkiss 25/25 Portrait Tag</t>
  </si>
  <si>
    <t>TAG Coreopsis Sunny Day 25/25 Portrait Tag</t>
  </si>
  <si>
    <t>TAG Coreopsis Sunray 100/100 Pixie Tag</t>
  </si>
  <si>
    <t>TAG Coreopsis Sunstar Gold 25/25 Portrait Tag</t>
  </si>
  <si>
    <t>TAG Coreopsis Sunstar Orange 25/25 Portrait Tag</t>
  </si>
  <si>
    <t>TAG Coreopsis Sunstar Rose 25/25 Portrait Tag</t>
  </si>
  <si>
    <t>TAG Coreopsis SunSwirl 100/100 Pixie Tag DO FUL</t>
  </si>
  <si>
    <t>TAG Coreopsis Super Star 25/25 Portrait Tag</t>
  </si>
  <si>
    <t>TAG Coreopsis Tequila Sunrise 25/25 Portrait Tag</t>
  </si>
  <si>
    <t>TAG Coreopsis UpTick Cream 25/25 Portrait Tag</t>
  </si>
  <si>
    <t>TAG Coreopsis UpTick Cream Red 25/25 Portrait Tag</t>
  </si>
  <si>
    <t>TAG Coreopsis UpTick Gold 25/25 Portrait Tag</t>
  </si>
  <si>
    <t>TAG Coreopsis UpTick Gold Bronze 25/25 Portrait Tag</t>
  </si>
  <si>
    <t>TAG Coreopsis UpTick Red 25/25 Portrait Tag</t>
  </si>
  <si>
    <t>TAG Coreopsis UpTick Yellow Red 25/25 Portrait Tag</t>
  </si>
  <si>
    <t>TAG Coreopsis Yellow 100/100 Pixie Tag</t>
  </si>
  <si>
    <t>TAG Coreopsis Yellow GENERIC 25/25 Portrait Tag</t>
  </si>
  <si>
    <t>TAG Coreopsis Zagreb Verticillata 100/100 Pixie Tag</t>
  </si>
  <si>
    <t>TAG Coreopsis Zagreb 100/100 Pixie Tag DO FUL</t>
  </si>
  <si>
    <t>TAG Coreopsis Zagreb Verticillata 25/25 Portrait Tag</t>
  </si>
  <si>
    <t>TAG Cilantro/Coriander 100/100 Pixie Tag</t>
  </si>
  <si>
    <t>TAG Cilantro/Coriander 200/200 Thriftee Tag</t>
  </si>
  <si>
    <t>TAG Cilantro/Coriander 25/25 Portrait Tag</t>
  </si>
  <si>
    <t>TAG Cilantro/Coriander Delfino 100/100 Pixie Tag</t>
  </si>
  <si>
    <t>TAG Cilantro/Coriander Santo 100/100 Pixie Tag</t>
  </si>
  <si>
    <t>TAG Cilantro/Coriander Santo 25/25 Portrait Tag</t>
  </si>
  <si>
    <t>TAG Corn American Dream 100/100 Pixie Tag</t>
  </si>
  <si>
    <t>TAG Corn Bicolor GENERIC 100/100 Pixie Tag</t>
  </si>
  <si>
    <t>TAG Corn Devotion 100/100 Pixie Tag</t>
  </si>
  <si>
    <t>TAG Corn GENERIC 100/100 Pixie Tag</t>
  </si>
  <si>
    <t>TAG Corn Honey N Pearl 100/100 Pixie Tag</t>
  </si>
  <si>
    <t>TAG Corn How Sweet It Is 100/100 Pixie Tag</t>
  </si>
  <si>
    <t>TAG Corn Ornamental 100/100 Pixie Tag</t>
  </si>
  <si>
    <t>TAG Corn Silver Queen 100/100 Pixie Tag</t>
  </si>
  <si>
    <t>TAG Corn White GENERIC 100/100 Pixie Tag</t>
  </si>
  <si>
    <t>TAG Corn Yellow GENERIC 100/100 Pixie Tag</t>
  </si>
  <si>
    <t>TAG Cortaderia Pink Selloana 100/100 Pixie Tag</t>
  </si>
  <si>
    <t>TAG Cortaderia White Selloana 100/100 Pixie Tag</t>
  </si>
  <si>
    <t>TAG Cortaderia White Selloana 25/25 Portrait Tag</t>
  </si>
  <si>
    <t>TAG Corynephorus Spiky Blue 25/25 Portrait Tag</t>
  </si>
  <si>
    <t>TAG Cosmos Apollo Bright Carmine 100/100 Pixie Tag</t>
  </si>
  <si>
    <t>TAG Cosmos Apollo Carmine 100/100 Pixie Tag SF</t>
  </si>
  <si>
    <t>TAG Cosmos Apollo Lovesong 100/100 Pixie Tag SF</t>
  </si>
  <si>
    <t>TAG Cosmos Apollo Mix 100/100 Pixie Tag SF</t>
  </si>
  <si>
    <t>TAG Cosmos Apollo Pink Blush 100/100 Pixie Tag</t>
  </si>
  <si>
    <t>TAG Cosmos Apollo White 100/100 Pixie Tag SF</t>
  </si>
  <si>
    <t>TAG Cosmos Casanova Mix 100/100 Pixie Tag</t>
  </si>
  <si>
    <t>TAG Cosmos Chocolate 100/100 Pixie Tag</t>
  </si>
  <si>
    <t>TAG Cosmos Chocolate 25/25 Portrait Tag</t>
  </si>
  <si>
    <t>TAG Cosmos Cosmic Mix 100/100 Pixie Tag</t>
  </si>
  <si>
    <t>TAG Cosmos Cosmic Orange 100/100 Pixie Tag</t>
  </si>
  <si>
    <t>TAG Cosmos Cosmic Red 100/100 Pixie Tag</t>
  </si>
  <si>
    <t>TAG Cosmos Cosmic Yellow 100/100 Pixie Tag</t>
  </si>
  <si>
    <t>TAG Cosmos Cutesy Mix 100/100 Pixie Tag</t>
  </si>
  <si>
    <t>TAG Cosmos GENERIC 100/100 Pixie Tag</t>
  </si>
  <si>
    <t>TAG Cosmos Mandarin 100/100 Pixie Tag</t>
  </si>
  <si>
    <t>TAG Cosmos Mix GENERIC 100/100 Pixie Tag</t>
  </si>
  <si>
    <t>TAG Cosmos Picotee 100/100 Pixie Tag</t>
  </si>
  <si>
    <t>TAG Cosmos Seashells 100/100 Pixie Tag</t>
  </si>
  <si>
    <t>TAG Cosmos Sensation Mix 100/100 Pixie Tag</t>
  </si>
  <si>
    <t>TAG Cosmos Sonata Carmine 100/100 Pixie Tag</t>
  </si>
  <si>
    <t>TAG Cosmos Sonata Mix 100/100 Pixie Tag</t>
  </si>
  <si>
    <t>TAG Cosmos Sonata Pink 100/100 Pixie Tag</t>
  </si>
  <si>
    <t>TAG Cosmos Sonata Pink Blush 100/100 Pixie Tag</t>
  </si>
  <si>
    <t>TAG Cosmos Sonata Purple Shades 100/100 Pixie Tag</t>
  </si>
  <si>
    <t>TAG Cosmos Sonata Red Shades 100/100 Pixie Tag</t>
  </si>
  <si>
    <t>TAG Cosmos Sonata White 100/100 Pixie Tag</t>
  </si>
  <si>
    <t>TAG Cosmos Sulfur GENERIC 100/100 Pixie Tag</t>
  </si>
  <si>
    <t>TAG Cosmos Sunny Gold 100/100 Pixie Tag</t>
  </si>
  <si>
    <t>TAG Cosmos Sunny Red 100/100 Pixie Tag</t>
  </si>
  <si>
    <t>TAG Cotyledon GENERIC 100/100 Pixie Tag</t>
  </si>
  <si>
    <t>TAG Coteyldon Green Ear 100/100 Pixie Tag DO FUL</t>
  </si>
  <si>
    <t>TAG Coteyldon Silver Peak 100/100 Pixie Tag DO FUL</t>
  </si>
  <si>
    <t>TAG Craspedia Golf Beauty 100/100 Pixie Tag</t>
  </si>
  <si>
    <t>TAG Crassula Arborescens 100/100 Pixie Tag DO FUL</t>
  </si>
  <si>
    <t>TAG Crassula Baby Jade 100/100 Pixie Tag</t>
  </si>
  <si>
    <t>TAG Crassula Campfire 100/100 Pixie Tag</t>
  </si>
  <si>
    <t>TAG Crassula Campfire CN2014 100/100 Pixie Tag DO FUL</t>
  </si>
  <si>
    <t>TAG Crassula Cephalophora 100/100 Pixie Tag DO FUL</t>
  </si>
  <si>
    <t>TAG Crassula Corymbulosa 100/100 Pixie Tag DO FUL</t>
  </si>
  <si>
    <t>TAG Crassula Curly Grey 100/100 Pixie Tag DO FUL</t>
  </si>
  <si>
    <t>TAG Crassula Gandalf 100/100 Pixie Tag DO FUL</t>
  </si>
  <si>
    <t>TAG Crassula GENERIC 100/100 Pixie Tag</t>
  </si>
  <si>
    <t>TAG Crassula Hobbit 100/100 Pixie Tag</t>
  </si>
  <si>
    <t>TAG Crassula Horntree 100/100 Pixie Tag DO FUL</t>
  </si>
  <si>
    <t>TAG Crassula Horntree Gollum 100/100 Pixie Tag DO FUL</t>
  </si>
  <si>
    <t>TAG Crassula Horntree Tricolor 100/100 Pixie Tag DO FUL</t>
  </si>
  <si>
    <t>TAG Crassula Jade Plant GENERIC 100/100 Pixie Tag</t>
  </si>
  <si>
    <t>TAG Crassula Justus Corderoy 100/100 Pixie Tag DO FUL</t>
  </si>
  <si>
    <t>TAG Crassula Major 100/100 Pixie Tag DO FUL</t>
  </si>
  <si>
    <t>TAG Crassula Minor 100/100 Pixie Tag DO FUL</t>
  </si>
  <si>
    <t>TAG Crassula Obvallata 100/100 Pixie Tag DO FUL</t>
  </si>
  <si>
    <t>TAG Crassula Ovata 100/100 Pixie Tag DO FUL</t>
  </si>
  <si>
    <t>TAG Crassula Ovata Variegata 100/100 Pixie Tag</t>
  </si>
  <si>
    <t>TAG Crassula Pangolin 100/100 Pixie Tag DO FUL</t>
  </si>
  <si>
    <t>TAG Crassula Perforata 100/100 Pixie Tag DO FUL</t>
  </si>
  <si>
    <t>TAG Crassula Princess Pine 100/100 Pixie Tag</t>
  </si>
  <si>
    <t>TAG Crassula Rochea Falcata 100/100 Pixie Tag DO FUL</t>
  </si>
  <si>
    <t>TAG Crassula Sunset 100/100 Pixie Tag</t>
  </si>
  <si>
    <t>TAG Crassula Sunset CN2026 100/100 Pixie Tag DO FUL</t>
  </si>
  <si>
    <t>TAG Crassula Tenelli 100/100 Pixie Tag</t>
  </si>
  <si>
    <t>TAG Crassula Variegata 100/100 Pixie Tag DO FUL</t>
  </si>
  <si>
    <t>TAG Crocosmia Lucifer 100/100 Pixie Tag</t>
  </si>
  <si>
    <t>TAG Crocosmia Lucifer 25/25 Portrait Tag</t>
  </si>
  <si>
    <t>TAG Crocus GENERIC 100/100 Pixie Tag</t>
  </si>
  <si>
    <t>TAG Crossandra GENERIC 100/100 Pixie Tag</t>
  </si>
  <si>
    <t>TAG Crossandra Orange 50/50 Petite Portrait DO FUL</t>
  </si>
  <si>
    <t>TAG Crossandra Orange Marmalade 100/100 Pixie Tag</t>
  </si>
  <si>
    <t>TAG Crossandra Tropic Yellow Splash 100/100 Pixie Tag</t>
  </si>
  <si>
    <t>TAG Crossandra Watermelon 50/50 Petite Portrait DO FUL</t>
  </si>
  <si>
    <t>TAG Croton GENERIC 100/100 Pixie Tag</t>
  </si>
  <si>
    <t>TAG Croton Petra Variegatum 100/100 Pixie Tag</t>
  </si>
  <si>
    <t>TAG Ctenanthe GENERIC 100/100 Pixie Tag</t>
  </si>
  <si>
    <t>TAG Cucumber All Season Burpless 100/100 Pixie Tag</t>
  </si>
  <si>
    <t>TAG Cucumber Armenian Yard Long 100/100 Pixie Tag</t>
  </si>
  <si>
    <t>TAG Cucumber Baby Size GENERIC 100/100 Pixie Tag</t>
  </si>
  <si>
    <t>TAG Cucumber Burpee Hybrid 100/100 Pixie Tag</t>
  </si>
  <si>
    <t>TAG Cucumber Burpless 100/100 Pixie Tag</t>
  </si>
  <si>
    <t>TAG Cucumber Burpless 200/200 Thriftee Tag</t>
  </si>
  <si>
    <t>TAG Cucumber Burpless 26 100/100 Pixie Tag</t>
  </si>
  <si>
    <t>TAG Cucumber Burpless Bush 100/100 Pixie Tag</t>
  </si>
  <si>
    <t>TAG Cucumber Burpless Garden Sweet 100/100 Pixie Tag</t>
  </si>
  <si>
    <t>TAG Cucumber Burpless Supreme 100/100 Pixie Tag</t>
  </si>
  <si>
    <t>TAG Cucumber Bush Crop 100/100 Pixie Tag</t>
  </si>
  <si>
    <t>TAG Cucumber Bush Crop 200/200 Thriftee Tag</t>
  </si>
  <si>
    <t>TAG Cucumber Bush Pickle 100/100 Pixie Tag</t>
  </si>
  <si>
    <t>TAG Cucumber Calypso 100/100 Pixie Tag</t>
  </si>
  <si>
    <t>TAG Cucumber Cool Breeze 100/100 Pixie Tag</t>
  </si>
  <si>
    <t>TAG Cucumber Dasher II 100/100 Pixie Tag</t>
  </si>
  <si>
    <t>TAG Cucumber Diva 100/100 Pixie Tag</t>
  </si>
  <si>
    <t>TAG Cucumber Fanfare 100/100 Pixie Tag</t>
  </si>
  <si>
    <t>TAG Cucumber Garden Leader Tasty 100/100 Pixie Tag</t>
  </si>
  <si>
    <t>TAG Cucumber Gherking 100/100 Pixie Tag</t>
  </si>
  <si>
    <t>TAG Cucumber GENERIC 100/100 Pixie Tag</t>
  </si>
  <si>
    <t>TAG Cucumber GENERIC 200/200 Thriftee Tag</t>
  </si>
  <si>
    <t>TAG Cucumber Green Light 100/100 Pixie Tag</t>
  </si>
  <si>
    <t>TAG Cucumber Homemade Pickles 100/100 Pixie Tag</t>
  </si>
  <si>
    <t>TAG Cucumber Hybrid 100/100 Pixie Tag</t>
  </si>
  <si>
    <t>TAG Cucumber Japanese 100/100 Pixie Tag</t>
  </si>
  <si>
    <t>TAG Cucumber Lemon 100/100 Pixie Tag</t>
  </si>
  <si>
    <t>TAG Cucumber Marketmore 100/100 Pixie Tag</t>
  </si>
  <si>
    <t>TAG Cucumber Marketmore 200/200 Thriftee Tag</t>
  </si>
  <si>
    <t>TAG Cucumber Marketmore 76 100/100 Pixie Tag</t>
  </si>
  <si>
    <t>TAG Cucumber Martini 100/100 Pixie Tag</t>
  </si>
  <si>
    <t>TAG Cucumber Orient Express 100/100 Pixie Tag</t>
  </si>
  <si>
    <t>TAG Cucumber Parisian Gherkin 100/100 Pixie Tag</t>
  </si>
  <si>
    <t>TAG Cucumber Patio Type GENERIC 100/100 Pixie Tag</t>
  </si>
  <si>
    <t>TAG Cucumber Patio Pik 100/100 Pixie Tag</t>
  </si>
  <si>
    <t>TAG Cucumber Patio Snacker 100/100 Pixie Tag</t>
  </si>
  <si>
    <t>TAG Cucumber Pick A Bushel 100/100 Pixie Tag</t>
  </si>
  <si>
    <t>TAG Cucumber Pickling 100/100 Pixie Tag</t>
  </si>
  <si>
    <t>TAG Cucumber Pickling 200/200 Thriftee Tag</t>
  </si>
  <si>
    <t>TAG Cucumber Potluck 100/100 Pixie Tag</t>
  </si>
  <si>
    <t>TAG Cucumber Raider 100/100 Pixie Tag</t>
  </si>
  <si>
    <t>TAG Cucumber Salad Bush 100/100 Pixie Tag</t>
  </si>
  <si>
    <t>TAG Cucumber Saladmore Bush 100/100 Pixie Tag</t>
  </si>
  <si>
    <t>TAG Cucumber Salad Crop 100/100 Pixie Tag</t>
  </si>
  <si>
    <t>TAG Cucumber Slicemaster 100/100 Pixie Tag</t>
  </si>
  <si>
    <t>TAG Cucumber Slicing 100/100 Pixie Tag</t>
  </si>
  <si>
    <t>TAG Cucumber Slicing 200/200 Thriftee Tag</t>
  </si>
  <si>
    <t>TAG Cucumber Spacemaster Hybrid 100/100 Pixie Tag</t>
  </si>
  <si>
    <t>TAG Cucumber Straight Eight 100/100 Pixie Tag</t>
  </si>
  <si>
    <t>TAG Cucumber Summer Top Hybrid 100/100 Pixie Tag</t>
  </si>
  <si>
    <t>TAG Cucumber Sweet Slice 100/100 Pixie Tag</t>
  </si>
  <si>
    <t>TAG Cucumber Sweet Success 100/100 Pixie Tag</t>
  </si>
  <si>
    <t>TAG Cucumber Sweeter Yet 100/100 Pixie Tag</t>
  </si>
  <si>
    <t>TAG Cucumber Tasty Green 100/100 Pixie Tag</t>
  </si>
  <si>
    <t>TAG Cucumber Telegraph 100/100 Pixie Tag</t>
  </si>
  <si>
    <t>TAG Cucumber Victory 100/100 Pixie Tag</t>
  </si>
  <si>
    <t>TAG Cucumber White GENERIC 100/100 Pixie Tag</t>
  </si>
  <si>
    <t>TAG Cucumber MiniCrisp 100/100 Pixie Tag</t>
  </si>
  <si>
    <t>TAG Cucumber Quick Snack Kitchen Minis 100/100 Pixie Tag</t>
  </si>
  <si>
    <t>TAG Cucumber Kitchen Minis Quick Snack 25/25 Portrait Tag</t>
  </si>
  <si>
    <t>TAG Squash GENERIC 100/100 Pixie Tag</t>
  </si>
  <si>
    <t>TAG Squash Sweet Jade 100/100 Pixie Tag</t>
  </si>
  <si>
    <t>TAG Cumin GENERIC 100/100 Pixie Tag</t>
  </si>
  <si>
    <t>TAG Cuphea Allyson 100/100 Pixie Tag</t>
  </si>
  <si>
    <t>TAG Cuphea Bat Face GENERIC 100/100 Pixie Tag</t>
  </si>
  <si>
    <t>TAG Cuphea Blackberry Sparkler 50/50 Petite Portrait DO FUL</t>
  </si>
  <si>
    <t>TAG Cuphea Cigar Plant GENERIC 100/100 Pixie Tag</t>
  </si>
  <si>
    <t>TAG Cuphea Cubano Cristo 100/100 Pixie Tag</t>
  </si>
  <si>
    <t>TAG Cuphea Cubano Fuente 100/100 Pixie Tag</t>
  </si>
  <si>
    <t>TAG Cuphea Cubano Presidente 100/100 Pixie Tag</t>
  </si>
  <si>
    <t>TAG Cuphea Cuphoric Pink 50/50 Petite Portrait SF FUL</t>
  </si>
  <si>
    <t>TAG Cuphea Cupid Purple 100/100 Pixie Tag</t>
  </si>
  <si>
    <t>TAG Cuphea Cupid White 100/100 Pixie Tag</t>
  </si>
  <si>
    <t>TAG Cuphea Dynamite 100/100 Pixie Tag</t>
  </si>
  <si>
    <t>TAG Cuphea Firecracker 100/100 Pixie Tag</t>
  </si>
  <si>
    <t>TAG Cuphea FloriGlory Corazon 100/100 Pixie Tag</t>
  </si>
  <si>
    <t>TAG Cuphea FloriGlory Corazon 50/50 Petite Portrait DO FUL</t>
  </si>
  <si>
    <t>TAG Cuphea FloriGlory Diana 100/100 Pixie Tag</t>
  </si>
  <si>
    <t>TAG Cuphea FloriGlory Diana 50/50 Petite Portrait DO FUL</t>
  </si>
  <si>
    <t>TAG Cuphea FloriGlory Maria 100/100 Pixie Tag</t>
  </si>
  <si>
    <t>TAG Cuphea FloriGlory Maria 50/50 Petite Portrait DO FUL</t>
  </si>
  <si>
    <t>TAG Cuphea FloriGlory Selena 100/100 Pixie Tag</t>
  </si>
  <si>
    <t>TAG Cuphea FloriGlory Selena 50/50 Petite Portrait DO FUL</t>
  </si>
  <si>
    <t>TAG Cuphea FloriGlory Sofia 100/100 Pixie Tag</t>
  </si>
  <si>
    <t>TAG Cuphea FloriGlory Sofia 50/50 Petite Portrait DO FUL</t>
  </si>
  <si>
    <t>TAG Cuphea Funny Face 100/100 Pixie Tag</t>
  </si>
  <si>
    <t>TAG Cuphea Hummingbird's Lunch 50/50 Petite Portrait DO FUL</t>
  </si>
  <si>
    <t>TAG Cuphea Lavender 50/50 Petite Portrait DO FUL</t>
  </si>
  <si>
    <t>TAG Cuphea Lavender GENERIC 100/100 Pixie Tag</t>
  </si>
  <si>
    <t>TAG Cuphea Lavender Lace 100/100 Pixie Tag</t>
  </si>
  <si>
    <t>TAG Cuphea Lilac 50/50 Petite Portrait DO FUL</t>
  </si>
  <si>
    <t>TAG Cuphea Lilac CR3520 50/50 Petite Portrait DO FUL</t>
  </si>
  <si>
    <t>TAG Cuphea Mexican Heather GENERIC 100/100 Pixie Tag</t>
  </si>
  <si>
    <t>TAG Cuphea Mexican Heather GENERIC 25/25 Portrait Tag</t>
  </si>
  <si>
    <t>TAG Cuphea Pink GENERIC 100/100 Pixie Tag</t>
  </si>
  <si>
    <t>TAG Cuphea Pink Shimmer 100/100 Pixie Tag</t>
  </si>
  <si>
    <t>TAG Cuphea Purple GENERIC 100/100 Pixie Tag</t>
  </si>
  <si>
    <t>TAG Cuphea Sriracha Series 100/100 Pixie Tag SF</t>
  </si>
  <si>
    <t>TAG Cuphea Sweet Talk Deep Pink 100/100 Pixie Tag</t>
  </si>
  <si>
    <t>TAG Cuphea Sweet Talk Lavandula Lavender Splash 100/100 Pixie Tag</t>
  </si>
  <si>
    <t>TAG Cuphea Sweet Talk Red 100/100 Pixie Tag</t>
  </si>
  <si>
    <t>TAG Cuphea White 50/50 Petite Portrait DO FUL</t>
  </si>
  <si>
    <t>TAG Cuphea White GENERIC 100/100 Pixie Tag</t>
  </si>
  <si>
    <t>TAG Cyclamen GENERIC 100/100 Pixie Tag</t>
  </si>
  <si>
    <t>TAG Cyclamen Mini GENERIC 100/100 Pixie Tag</t>
  </si>
  <si>
    <t>TAG Cyclamen Mix 100/100 Pixie Tag</t>
  </si>
  <si>
    <t>TAG Cyclamen Red GENERIC 100/100 Pixie Tag</t>
  </si>
  <si>
    <t>TAG Cyclamen White GENERIC 100/100 Pixie Tag</t>
  </si>
  <si>
    <t>TAG Cymbalaria Muralis 100/100 Pixie Tag</t>
  </si>
  <si>
    <t>TAG Cymbopogon Citratus 25/25 Portrait Tag</t>
  </si>
  <si>
    <t>TAG Lemongrass Cymbopogon East Indian Lemon Grass 25/25 Portrait Tag</t>
  </si>
  <si>
    <t>TAG Lemongrass Cymbopogon 100/100 Pixie Tag</t>
  </si>
  <si>
    <t>TAG Artichoke GENERIC 100/100 Pixie Tag</t>
  </si>
  <si>
    <t>TAG Cardoon GENERIC 100/100 Pixie Tag</t>
  </si>
  <si>
    <t>TAG Cyperus Abby 100/100 Pixie Tag</t>
  </si>
  <si>
    <t>TAG Cyperus Alternifolius 100/100 Pixie Tag</t>
  </si>
  <si>
    <t>TAG Cyperus Dwarf Giant Papyrus 100/100 Pixie Tag</t>
  </si>
  <si>
    <t>TAG Cyperus Papyrus Dwarf 100/100 Pixie Tag</t>
  </si>
  <si>
    <t>TAG Cyperus Wild Spike 100/100 Pixie Tag</t>
  </si>
  <si>
    <t>TAG Dactylis Pet Grass 100/100 Pixie Tag</t>
  </si>
  <si>
    <t>TAG Daffodil GENERIC 100/100 Pixie Tag</t>
  </si>
  <si>
    <t>TAG Daffodil Paper White 100/100 Pixie Tag</t>
  </si>
  <si>
    <t>TAG Daffodil Tete A Tete 100/100 Pixie Tag</t>
  </si>
  <si>
    <t>TAG Daffodil Yellow 100/100 Pixie Tag</t>
  </si>
  <si>
    <t>TAG Dahlberg Daisy Golden Fleece 100/100 Pixie Tag</t>
  </si>
  <si>
    <t>TAG Dahlia Black Beauty 100/100 Pixie Tag</t>
  </si>
  <si>
    <t>TAG Dahlia Black Forest Ruby 100/100 Pixie Tag</t>
  </si>
  <si>
    <t>TAG Dahlia Cafe Au Lait 50/50 Petite Portrait SF FUL</t>
  </si>
  <si>
    <t>TAG Dahlia Cherie Series 100/100 Pixie Tag</t>
  </si>
  <si>
    <t>TAG Dahlia Dahlegria Apricot Tricolor 50/50 Petite Portrait SF FUL</t>
  </si>
  <si>
    <t>TAG Dahlia Dahlegria Light Rose 50/50 Petite Portrait SF FUL</t>
  </si>
  <si>
    <t>TAG Dahlia Dahlegria Magenta Bicolor 50/50 Petite Portrait SF FUL</t>
  </si>
  <si>
    <t>TAG Dahlia Dahlegria Magenta Bicolor CE1594 50/50 Petite Portrait SF FUL</t>
  </si>
  <si>
    <t>TAG Dahlia Dahlegria Orange 50/50 Petite Portrait SF FUL</t>
  </si>
  <si>
    <t>TAG Dahlia Dahlegria Orange Bicolor 50/50 Petite Portrait SF FUL</t>
  </si>
  <si>
    <t>TAG Dahlia Dahlegria Pink Flame 50/50 Petite Portrait SF FUL</t>
  </si>
  <si>
    <t>TAG Dahlia Dahlegria Red 50/50 Petite Portrait SF FUL</t>
  </si>
  <si>
    <t>TAG Dahlia Dahlegria Red CE1595 50/50 Petite Portrait SF FUL</t>
  </si>
  <si>
    <t>TAG Dahlia Dahlegria Scarlet Fire 50/50 Petite Portrait SF FUL</t>
  </si>
  <si>
    <t>TAG Dahlia Dahlegria Sunrise 50/50 Petite Portrait SF FUL</t>
  </si>
  <si>
    <t>TAG Dahlia Dahlegria Sunset 50/50 Petite Portrait SF FUL</t>
  </si>
  <si>
    <t>TAG Dahlia Dahlegria White 50/50 Petite Portrait SF FUL</t>
  </si>
  <si>
    <t>TAG Dahlia Dahlinova Alabama 50/50 Petite Portrait DO FUL</t>
  </si>
  <si>
    <t>TAG Dahlia Dahlinova California 50/50 Petite Portrait DO FUL</t>
  </si>
  <si>
    <t>TAG Dahlia Dahlinova Carolina 50/50 Petite Portrait DO FUL</t>
  </si>
  <si>
    <t>TAG Dahlia Dahlinova Carolina Orange 50/50 Petite Portrait DO FUL</t>
  </si>
  <si>
    <t>TAG Dahlia Dahlinova Florida 50/50 Petite Portrait DO FUL</t>
  </si>
  <si>
    <t>TAG Dahlia Dahlinova Lisa Burgundy 50/50 Petite Portrait DO FUL</t>
  </si>
  <si>
    <t>TAG Dahlia Dahlinova Lisa Dark Pink 50/50 Petite Portrait DO FUL</t>
  </si>
  <si>
    <t>TAG Dahlia Dahlinova Lisa White D 50/50 Petite Portrait DO FUL</t>
  </si>
  <si>
    <t>TAG Dahlia Dahlinova Montana 50/50 Petite Portrait DO FUL</t>
  </si>
  <si>
    <t>TAG Dahlia Dahlinova New York 50/50 Petite Portrait DO FUL</t>
  </si>
  <si>
    <t>TAG Dahlia Dahlinova Oregon Dahlia 50/50 Petite Portrait DO FUL</t>
  </si>
  <si>
    <t>TAG Dahlia Dahlinova Texas 50/50 Petite Portrait DO FUL</t>
  </si>
  <si>
    <t>TAG Dahlia Dahlinova Temptation Golden 50/50 Petite Portrait DO FUL</t>
  </si>
  <si>
    <t>TAG Dahlia Dahlinova Temptation Lavender 50/50 Petite Portrait DO FUL</t>
  </si>
  <si>
    <t>TAG Dahlia Darlin' Series 100/100 Pixie Tag</t>
  </si>
  <si>
    <t>TAG Dahlia Decorative GENERIC 100/100 Pixie Tag</t>
  </si>
  <si>
    <t>TAG Dahlia Diablo 100/100 Pixie Tag</t>
  </si>
  <si>
    <t>TAG Dahlia Dreamy Eyes 100/100 Pixie Tag</t>
  </si>
  <si>
    <t>TAG Dahlia Dreamy Fantasy 100/100 Pixie Tag</t>
  </si>
  <si>
    <t>TAG Dahlia Dreamy Flame 100/100 Pixie Tag</t>
  </si>
  <si>
    <t>TAG Dahlia Dreamy Kiss 100/100 Pixie Tag</t>
  </si>
  <si>
    <t>TAG Dahlia Dreamy Lips 100/100 Pixie Tag</t>
  </si>
  <si>
    <t>TAG Dahlia Dreamy Morning 100/100 Pixie Tag</t>
  </si>
  <si>
    <t>TAG Dahlia Dreamy Nights 100/100 Pixie Tag</t>
  </si>
  <si>
    <t>TAG Dahlia Dreamy Sunlight 100/100 Pixie Tag</t>
  </si>
  <si>
    <t>TAG Dahlia Electro Pink 100/100 Pixie Tag</t>
  </si>
  <si>
    <t>TAG Dahlia Figaro Mix 100/100 Pixie Tag</t>
  </si>
  <si>
    <t>TAG Dahlia Figaro Orange Shades 100/100 Pixie Tag</t>
  </si>
  <si>
    <t>TAG Dahlia Figaro Red Shades 100/100 Pixie Tag</t>
  </si>
  <si>
    <t>TAG Dahlia Figaro Violet 100/100 Pixie Tag</t>
  </si>
  <si>
    <t>TAG Dahlia Figaro White 100/100 Pixie Tag</t>
  </si>
  <si>
    <t>TAG Dahlia Figaro Yellow Shades 100/100 Pixie Tag</t>
  </si>
  <si>
    <t>TAG Dahlia Fresco Mix 100/100 Pixie Tag SF</t>
  </si>
  <si>
    <t>TAG Dahlia GENERIC 25/25 Portrait Tag</t>
  </si>
  <si>
    <t>TAG Dahlia Bilingual GENERIC 100/100 Pixie Tag</t>
  </si>
  <si>
    <t>TAG Dahlia Grandalia Dark Red 50/50 Petite Portrait SF FUL</t>
  </si>
  <si>
    <t>TAG Dahlia Grandalia Dark Rose 50/50 Petite Portrait SF FUL</t>
  </si>
  <si>
    <t>TAG Dahlia Grandalia Fire 50/50 Petite Portrait SF FUL</t>
  </si>
  <si>
    <t>TAG Dahlia Grandalia Lavender Ice 50/50 Petite Portrait SF FUL</t>
  </si>
  <si>
    <t>TAG Dahlia Grandalia Magenta 50/50 Petite Portrait SF FUL</t>
  </si>
  <si>
    <t>TAG Dahlia Grandalia Orange 50/50 Petite Portrait SF FUL</t>
  </si>
  <si>
    <t>TAG Dahlia Grandalia Pink 50/50 Petite Portrait SF FUL</t>
  </si>
  <si>
    <t>TAG Dahlia Grandalia Pink Ice 50/50 Petite Portrait SF FUL</t>
  </si>
  <si>
    <t>TAG Dahlia Grandalia Red 50/50 Petite Portrait SF FUL</t>
  </si>
  <si>
    <t>TAG Dahlia Grandalia Sunny Flame 50/50 Petite Portrait SF FUL</t>
  </si>
  <si>
    <t>TAG Dahlia Grandalia Sunrise 50/50 Petite Portrait SF FUL</t>
  </si>
  <si>
    <t>TAG Dahlia Grandalia White 50/50 Petite Portrait SF FUL</t>
  </si>
  <si>
    <t>TAG Dahlia Grandalia Yellow 50/50 Petite Portrait SF FUL</t>
  </si>
  <si>
    <t>TAG Dahlia Happy Days Cherry Red 50/50 Petite Portrait SF FUL</t>
  </si>
  <si>
    <t>TAG Dahlia Happy Days Fuchsia Halo 50/50 Petite Portrait SF FUL</t>
  </si>
  <si>
    <t>TAG Dahlia Happy Days Neon 50/50 Petite Portrait SF FUL</t>
  </si>
  <si>
    <t>TAG Dahlia Happy Days Orange Red Bicolor 50/50 Petite Portrait SF FUL</t>
  </si>
  <si>
    <t>TAG Dahlia Happy Days Pink 50/50 Petite Portrait SF FUL</t>
  </si>
  <si>
    <t>TAG Dahlia Happy Days Purple 50/50 Petite Portrait SF FUL</t>
  </si>
  <si>
    <t>TAG Dahlia Happy Days White 50/50 Petite Portrait SF FUL</t>
  </si>
  <si>
    <t>TAG Dahlia Happy Days Yellow 50/50 Petite Portrait SF FUL</t>
  </si>
  <si>
    <t>TAG Dahlia Harlequin Mix 100/100 Pixie Tag SF</t>
  </si>
  <si>
    <t>TAG Dahlia Hypnotica Bronze 50/50 Petite Portrait DO FUL</t>
  </si>
  <si>
    <t>TAG Dahlia Hypnotica Candy Corn 50/50 Petite Portrait DO FUL</t>
  </si>
  <si>
    <t>TAG Dahlia Hypnotica Electric Pink 50/50 Petite Portrait DO FUL</t>
  </si>
  <si>
    <t>TAG Dahlia Hypnotica Gold 50/50 Petite Portrait DO FUL</t>
  </si>
  <si>
    <t>TAG Dahlia Hypnotica Icarus 50/50 Petite Portrait DO FUL</t>
  </si>
  <si>
    <t>TAG Dahlia Hypnotica Lavender 50/50 Petite Portrait DO FUL</t>
  </si>
  <si>
    <t>TAG Dahlia Hypnotica Limonswirl 50/50 Petite Portrait DO FUL</t>
  </si>
  <si>
    <t>TAG Dahlia Hypnotica Orange 50/50 Petite Portrait DO FUL</t>
  </si>
  <si>
    <t>TAG Dahlia Hypnotica Pink 50/50 Petite Portrait DO FUL</t>
  </si>
  <si>
    <t>TAG Dahlia Hypnotica Pink Bicolor 50/50 Petite Portrait DO FUL</t>
  </si>
  <si>
    <t>TAG Dahlia Hypnotica Pink CR5180 50/50 Petite Portrait DO FUL</t>
  </si>
  <si>
    <t>TAG Dahlia Hypnotica Purple Bicolor 50/50 Petite Portrait DO FUL</t>
  </si>
  <si>
    <t>TAG Dahlia Hypnotica Red 50/50 Petite Portrait DO FUL</t>
  </si>
  <si>
    <t>TAG Dahlia Hypnotica Red Velvet 50/50 Petite Portrait DO FUL</t>
  </si>
  <si>
    <t>TAG Dahlia Hypnotica Rose Bicolor 50/50 Petite Portrait DO FUL</t>
  </si>
  <si>
    <t>TAG Dahlia Hypnotica Rose Swirl 50/50 Petite Portrait DO FUL</t>
  </si>
  <si>
    <t>TAG Dahlia Hypnotica Tequila Sunrise 50/50 Petite Portrait DO FUL</t>
  </si>
  <si>
    <t>TAG Dahlia Hypnotica Tropical Breeze 50/50 Petite Portrait DO FUL</t>
  </si>
  <si>
    <t>TAG Dahlia Hypnotica White 50/50 Petite Portrait DO FUL</t>
  </si>
  <si>
    <t>TAG Dahlia Hypnotica Yellow 50/50 Petite Portrait DO FUL</t>
  </si>
  <si>
    <t>TAG Dahlia Karma Amanda 50/50 Petite Portrait SF FUL</t>
  </si>
  <si>
    <t>TAG Dahlia Karma Amora Bright Scarlet 50/50 Petite Portrait SF FUL</t>
  </si>
  <si>
    <t>TAG Dahlia Karma Blue Lagoon 50/50 Petite Portrait SF FUL</t>
  </si>
  <si>
    <t>TAG Dahlia Karma Cabernet 50/50 Petite Portrait SF FUL</t>
  </si>
  <si>
    <t>TAG Dahlia Karma Caroline 50/50 Pixie Tag SF FUL</t>
  </si>
  <si>
    <t>TAG Dahlia Karma Corona Pink 50/50 Petite Portrait SF FUL</t>
  </si>
  <si>
    <t>TAG Dahlia Karma Corona Purple 50/50 Petite Portrait SF FUL</t>
  </si>
  <si>
    <t>TAG Dahlia Karma Corona Red 50/50 Petite Portrait SF FUL</t>
  </si>
  <si>
    <t>TAG Dahlia Karma Corona Yellow Bronze Bicolor 50/50 Petite Portrait SF FUL</t>
  </si>
  <si>
    <t>TAG Dahlia Karma Irene Red Orange 50/50 Petite Portrait SF FUL</t>
  </si>
  <si>
    <t>TAG Dahlia Karma Naomi 50/50 Petite Portrait SF FUL</t>
  </si>
  <si>
    <t>TAG Dahlia Karma Sangria 50/50 Petite Portrait SF FUL</t>
  </si>
  <si>
    <t>TAG Dahlia Karma Series 100/100 Pixie Tag SF</t>
  </si>
  <si>
    <t>TAG Dahlia LaBella Grande Series 100/100 Pixie Tag</t>
  </si>
  <si>
    <t>TAG Dahlia LaBella Maggiore Series 100/100 Pixie Tag</t>
  </si>
  <si>
    <t>TAG Dahlia LaBella Medio Series 100/100 Pixie Tag</t>
  </si>
  <si>
    <t>TAG Dahlia LaBella Piccolo Series 100/100 Pixie Tag</t>
  </si>
  <si>
    <t>TAG Dahlia MegaBoom Berry Blast 50/50 Petite Portrait DO FUL</t>
  </si>
  <si>
    <t>TAG Dahlia MegaBoom Fire 50/50 Petite Portrait DO FUL</t>
  </si>
  <si>
    <t>TAG Dahlia MegaBoom Orange Crush 50/50 Petite Portrait DO FUL</t>
  </si>
  <si>
    <t>TAG Dahlia MegaBoom Passion Fruit 50/50 Petite Portrait DO FUL</t>
  </si>
  <si>
    <t>TAG Dahlia MegaBoom Pink Lemonade 50/50 Petite Portrait DO FUL</t>
  </si>
  <si>
    <t>TAG Dahlia MegaBoom Raspberry Ice 50/50 Petite Portrait DO FUL</t>
  </si>
  <si>
    <t>TAG Dahlia Midalio Burgundy 50/50 Petite Portrait SF FUL</t>
  </si>
  <si>
    <t>TAG Dahlia Midalio Dark Red 50/50 Petite Portrait SF FUL</t>
  </si>
  <si>
    <t>TAG Dahlia Midalio Dark Rose 50/50 Petite Portrait SF FUL</t>
  </si>
  <si>
    <t>TAG Dahlia Midalio Orange 50/50 Petite Portrait SF FUL</t>
  </si>
  <si>
    <t>TAG Dahlia Midalio Pink 50/50 Petite Portrait SF FUL</t>
  </si>
  <si>
    <t>TAG Dahlia Midalio Red 50/50 Petite Portrait SF FUL</t>
  </si>
  <si>
    <t>TAG Dahlia Midalio White 50/50 Petite Portrait SF FUL</t>
  </si>
  <si>
    <t>TAG Dahlia Miss Mandy 50/50 Pixie Tag SF FUL</t>
  </si>
  <si>
    <t>TAG Dahlia Moon Lady 50/50 Petite Portrait SF FUL</t>
  </si>
  <si>
    <t>TAG Dahlia Mystic Dreamer 100/100 Pixie Tag</t>
  </si>
  <si>
    <t>TAG Dahlia Mystic Dreamer 50/50 Petite Portrait DO FUL</t>
  </si>
  <si>
    <t>TAG Dahlia Mystic Enchantment 100/100 Pixie Tag</t>
  </si>
  <si>
    <t>TAG Dahlia Mystic Enchantment 50/50 Petite Portrait DO FUL</t>
  </si>
  <si>
    <t>TAG Dahlia Mystic Fantasy 100/100 Pixie Tag</t>
  </si>
  <si>
    <t>TAG Dahlia Mystic Flares Catch 100/100 Pixie Tag</t>
  </si>
  <si>
    <t>TAG Dahlia Mystic Flares Time 100/100 Pixie Tag</t>
  </si>
  <si>
    <t>TAG Dahlia Mystic Haze 100/100 Pixie Tag</t>
  </si>
  <si>
    <t>TAG Dahlia Mystic Haze 50/50 Petite Portrait DO FUL</t>
  </si>
  <si>
    <t>TAG Dahlia Mystic Illusion 100/100 Pixie Tag</t>
  </si>
  <si>
    <t>TAG Dahlia Mystic Illusion 50/50 Petite Portrait DO FUL</t>
  </si>
  <si>
    <t>TAG Dahlia Mystic Sparkler 100/100 Pixie Tag</t>
  </si>
  <si>
    <t>TAG Dahlia Mystic Sparkler 50/50 Petite Portrait DO FUL</t>
  </si>
  <si>
    <t>TAG Dahlia Mystic Spirit 100/100 Pixie Tag</t>
  </si>
  <si>
    <t>TAG Dahlia Mystic Wizard 100/100 Pixie Tag</t>
  </si>
  <si>
    <t>TAG Dahlia Mystic Wonder 100/100 Pixie Tag</t>
  </si>
  <si>
    <t>TAG Dahlia Mystic Wonder 50/50 Petite Portrait DO FUL</t>
  </si>
  <si>
    <t>TAG Dahlia Novation Hot Pink 50/50 Petite Portrait DO FUL</t>
  </si>
  <si>
    <t>TAG Dahlia Novation Orange Bicolor 50/50 Petite Portrait DO FUL</t>
  </si>
  <si>
    <t>TAG Dahlia Novation Pink Bicolor 50/50 Petite Portrait DO FUL</t>
  </si>
  <si>
    <t>TAG Dahlia Novation Pumpkin Sipce 24 50/50 Pixie TAG DO FUL</t>
  </si>
  <si>
    <t>TAG Dahlia Novation Red 50/50 Petite Portrait DO FUL</t>
  </si>
  <si>
    <t>TAG Dahlia Novation Ruby 50/50 Petite Portrait DO FUL</t>
  </si>
  <si>
    <t>TAG Dahlia Novation Salmon 50/50 Petite Portrait DO FUL</t>
  </si>
  <si>
    <t>TAG Dahlia Novation White 50/50 Petite Portrait DO FUL</t>
  </si>
  <si>
    <t>TAG Dahlia Novation Yellow 50/50 Petite Portrait DO FUL</t>
  </si>
  <si>
    <t>TAG Dahlia Painter Series 100/100 Pixie Tag</t>
  </si>
  <si>
    <t>TAG Dahlia Redskin 100/100 Pixie Tag</t>
  </si>
  <si>
    <t>TAG Dahlia Revelation Pink 50/50 Petite Portrait DO FUL</t>
  </si>
  <si>
    <t>TAG Dahlia Revelation Red 50/50 Petite Portrait DO FUL</t>
  </si>
  <si>
    <t>TAG Dahlia Revelation Salmon Bicolor 50/50 Petite Portrait DO FUL</t>
  </si>
  <si>
    <t>TAG Dahlia Revelation Soft Orange 50/50 Petite Portrait DO FUL</t>
  </si>
  <si>
    <t>TAG Dahlia Revelation Yellow 50/50 Petite Portrait DO FUL</t>
  </si>
  <si>
    <t>TAG Dahlia Sincerity 50/50 Petite Portrait SF FUL</t>
  </si>
  <si>
    <t>TAG Dahlia Starsister Crimson Picotee 50/50 Petite Portrait DO FUL</t>
  </si>
  <si>
    <t>TAG Dahlia Starsister Flamed Rose 50/50 Petite Portrait DO FUL</t>
  </si>
  <si>
    <t>TAG Dahlia Starsister Pink Picotee 50/50 Petite Portrait DO FUL</t>
  </si>
  <si>
    <t>TAG Dahlia Starsister Purple Stripes 50/50 Petite Portrait DO FUL</t>
  </si>
  <si>
    <t>TAG Dahlia Starsister Red/White 50/50 Petite Portrait DO FUL</t>
  </si>
  <si>
    <t>TAG Dahlia Starsister Rose/White 50/50 Petite Portrait DO FUL</t>
  </si>
  <si>
    <t>TAG Dahlia Starsister Scarlet/Yellow 50/50 Petite Portrait DO FUL</t>
  </si>
  <si>
    <t>TAG Dahlia Starsister Yellow Daffodil 50/50 Petite Portrait DO FUL</t>
  </si>
  <si>
    <t>TAG Dahlia Starsister Yellow Stripes 50/50 Petite Portrait DO FUL</t>
  </si>
  <si>
    <t>TAG Dahlia Temptation Orange 50/50 Petite Portrait DO FUL</t>
  </si>
  <si>
    <t>TAG Dahlia Temptation Pink Bicolor 50/50 Petite Portrait DO FUL</t>
  </si>
  <si>
    <t>TAG Dahlia Temptation Purple 50/50 Petite Portrait DO FUL</t>
  </si>
  <si>
    <t>TAG Dahlia Temptation Red 50/50 Petite Portrait DO FUL</t>
  </si>
  <si>
    <t>TAG Dahlia Temptation Red Violet 50/50 Petite Portrait DO FUL</t>
  </si>
  <si>
    <t>TAG Dahlia Temptation Yellow 50/50 Petite Portrait DO FUL</t>
  </si>
  <si>
    <t>TAG Dahlia XXL Alamos 50/50 Petite Portrait DO FUL</t>
  </si>
  <si>
    <t>TAG Dahlia XXL Baja Sol 50/50 Petite Portrait DO FUL</t>
  </si>
  <si>
    <t>TAG Dahlia XXL Cancun 50/50 Petite Portrait DO FUL</t>
  </si>
  <si>
    <t>TAG Dahlia XXL Celaya 50/50 Petite Portrait DO FUL</t>
  </si>
  <si>
    <t>TAG Dahlia XXL Chiapas 50/50 Petite Portrait DO FUL</t>
  </si>
  <si>
    <t>TAG Dahlia XXL Cozumel 50/50 Petite Portrait DO FUL</t>
  </si>
  <si>
    <t>TAG Dahlia XXL Durango 50/50 Petite Portrait DO FUL</t>
  </si>
  <si>
    <t>TAG Dahlia XXL Ensenada 50/50 Petite Portrait DO FUL</t>
  </si>
  <si>
    <t>TAG Dahlia XXL Grand Prismatic 50/50 Petite Portrait DO FUL</t>
  </si>
  <si>
    <t>TAG Dahlia XXL Hidalgo 50/50 Petite Portrait DO FUL</t>
  </si>
  <si>
    <t>TAG Dahlia XXL Juarez 50/50 Petite Portrait DO FUL</t>
  </si>
  <si>
    <t>TAG Dahlia XXL Mayo 50/50 Petite Portrait DO FUL</t>
  </si>
  <si>
    <t>TAG Dahlia XXL Merida 50/50 Petite Portrait DO FUL</t>
  </si>
  <si>
    <t>TAG Dahlia XXL Paraiso 50/50 Petite Portrait DO FUL</t>
  </si>
  <si>
    <t>TAG Dahlia XXL Sunrise 50/50 Petite Portrait DO FUL</t>
  </si>
  <si>
    <t>TAG Dahlia XXL Sunset 50/50 Petite Portrait DO FUL</t>
  </si>
  <si>
    <t>TAG Dahlia XXL Tabasco 50/50 Petite Portrait DO FUL</t>
  </si>
  <si>
    <t>TAG Dahlia XXL Taxco Dahlia 50/50 Petite Portrait DO FUL</t>
  </si>
  <si>
    <t>TAG Dahlia XXL Vallarta 50/50 Petite Portrait DO FUL</t>
  </si>
  <si>
    <t>TAG Dahlia XXL Veracruz 50/50 Petite Portrait DO FUL</t>
  </si>
  <si>
    <t>TAG Daisy African GENERIC 100/100 Pixie Tag</t>
  </si>
  <si>
    <t>TAG Datura Ballerina Purple 100/100 Pixie Tag</t>
  </si>
  <si>
    <t>TAG Datura Ballerina White 100/100 Pixie Tag</t>
  </si>
  <si>
    <t>TAG Datura Ballerina Yellow 100/100 Pixie Tag</t>
  </si>
  <si>
    <t>TAG Datura Belle Blanche 100/100 Pixie Tag</t>
  </si>
  <si>
    <t>TAG Datura Double Purple GENERIC 100/100 Pixie Tag</t>
  </si>
  <si>
    <t>TAG Datura Double Yellow GENERIC 100/100 Pixie Tag</t>
  </si>
  <si>
    <t>TAG Datura GENERIC 100/100 Pixie Tag</t>
  </si>
  <si>
    <t>TAG Datura White GENERIC 100/100 Pixie Tag</t>
  </si>
  <si>
    <t>TAG Delosperma Congestum 25/25 Portrait Tag</t>
  </si>
  <si>
    <t>TAG Delosperma Cooperi 100/100 Pixie Tag DO FUL</t>
  </si>
  <si>
    <t>TAG Delosperma Cooperi 25/25 Portrait Tag</t>
  </si>
  <si>
    <t>TAG Delosperma Delmara Fuchsia 25/25 Portrait Tag</t>
  </si>
  <si>
    <t>TAG Delosperma Delmara Orange 25/25 Portrait Tag</t>
  </si>
  <si>
    <t>TAG Delosperma Delmara Pink 25/25 Portrait Tag</t>
  </si>
  <si>
    <t>TAG Delosperma Delmara Pink Halo 25/25 Portrait Tag</t>
  </si>
  <si>
    <t>TAG Delosperma Delmara Pink Red Gold 25/25 Portrait Tag</t>
  </si>
  <si>
    <t>TAG Delosperma Delmara Pink Silver 25/25 Portrait Tag</t>
  </si>
  <si>
    <t>TAG Delosperma Delmara Red 25/25 Portrait Tag</t>
  </si>
  <si>
    <t>TAG Delosperma Delmara Series 100/100 Pixie Tag</t>
  </si>
  <si>
    <t>TAG Delosperma Delmara White 25/25 Portrait Tag</t>
  </si>
  <si>
    <t>TAG Delosperma Delmara Yellow 25/25 Portrait Tag</t>
  </si>
  <si>
    <t>TAG Delosperma Early Bird Pink Cooperi 25/25 Portrait Tag</t>
  </si>
  <si>
    <t>TAG Delosperma Early Bird Purple Cooperi 25/25 Portrait Tag</t>
  </si>
  <si>
    <t>TAG Delosperma Floribunda 100/100 Pixie Tag</t>
  </si>
  <si>
    <t>TAG Delosperma GENERIC 100/100 Pixie Tag</t>
  </si>
  <si>
    <t>TAG Delosperma GENERIC 25/25 Portrait Tag</t>
  </si>
  <si>
    <t>TAG Delosperma Ice Plant GENERIC 25/25 Portrait Tag</t>
  </si>
  <si>
    <t>TAG Delosperma Jewel Of Desert Amethyst 25/25 Portrait Tag</t>
  </si>
  <si>
    <t>TAG Delosperma Jewel Of Desert Amthyst 100/100 Pixie Tag DO FUL</t>
  </si>
  <si>
    <t>TAG Delosperma Jewel Of Desert Candystone 100/100 Pixie Tag DO FUL</t>
  </si>
  <si>
    <t>TAG Delosperma Jewel Of Desert Garnet 100/100 Pixie Tag DO FUL</t>
  </si>
  <si>
    <t>TAG Delosperma Jewel Of Desert Garnet 25/25 Portrait Tag</t>
  </si>
  <si>
    <t>TAG Delosperma Jewel Of Desert Grenade 100/100 Pixie Tag DO FUL</t>
  </si>
  <si>
    <t>TAG Delosperma Jewel Of Desert Grenade 25/25 Portrait Tag</t>
  </si>
  <si>
    <t>TAG Delosperma Jewel Of Desert Moonstone 100/100 Pixie Tag DO FUL</t>
  </si>
  <si>
    <t>TAG Delosperma Jewel Of Desert Moonstone 25/25 Portrait Tag</t>
  </si>
  <si>
    <t>TAG Delosperma Jewel Of Desert Opal 100/100 Pixie Tag DO FUL</t>
  </si>
  <si>
    <t>TAG Delosperma Jewel Of Desert Opal 25/25 Portrait Tag</t>
  </si>
  <si>
    <t>TAG Delosperma Jewel Of Desert Peridot 100/100 Pixie Tag DO FUL</t>
  </si>
  <si>
    <t>TAG Delosperma Jewel Of Desert Peridot 25/25 Portrait Tag</t>
  </si>
  <si>
    <t>TAG Delosperma Jewel Of Desert Rosequartz 100/100 Pixie Tag DO FUL</t>
  </si>
  <si>
    <t>TAG Delosperma Jewel Of Desert Rosequartz 25/25 Portrait Tag</t>
  </si>
  <si>
    <t>TAG Delosperma Jewel Of Desert Ruby 100/100 Pixie Tag DO FUL</t>
  </si>
  <si>
    <t>TAG Delosperma Jewel Of Desert Ruby 25/25 Portrait Tag</t>
  </si>
  <si>
    <t>TAG Delosperma Jewel Of Desert Series 100/100 Pixie Tag</t>
  </si>
  <si>
    <t>TAG Delosperma Jewel Of Desert Sunstone 100/100 Pixie Tag DO FUL</t>
  </si>
  <si>
    <t>TAG Delosperma Jewel Of Desert Topaz 100/100 Pixie Tag DO FUL</t>
  </si>
  <si>
    <t>TAG Delosperma Jewel Of Desert Topaz 25/25 Portrait Tag</t>
  </si>
  <si>
    <t>TAG Delosperma Mountain Dew 25/25 Portrait Tag</t>
  </si>
  <si>
    <t>TAG Delosperma Ocean Sunset Orange Glow 25/25 Portrait Tag</t>
  </si>
  <si>
    <t>TAG Delosperma Ocean Sunset Orange Vibe 25/25 Portrait Tag</t>
  </si>
  <si>
    <t>TAG Delosperma Ocean Sunset Violet 25/25 Portrait Tag</t>
  </si>
  <si>
    <t>TAG Delosperma Ocean Sunset Violet Flare 25/25 Portrait Tag</t>
  </si>
  <si>
    <t>TAG Delosperma Orange Crush 25/25 Portrait Tag</t>
  </si>
  <si>
    <t>TAG Delosperma Pickle Plant GENERIC 100/100 Pixie Tag</t>
  </si>
  <si>
    <t>TAG Delosperma Rock Crystal Candy Red 100/100 Pixie Tag DO FUL</t>
  </si>
  <si>
    <t>TAG Delosperma Rock Crystal Magenta Pop 100/100 Pixie Tag DO FUL</t>
  </si>
  <si>
    <t>TAG Delosperma Rock Crystal Neon Orange 100/100 Pixie Tag DO FUL</t>
  </si>
  <si>
    <t>TAG Delosperma Rock Crystal Neon Red 100/100 Pixie Tag DO FUL</t>
  </si>
  <si>
    <t>TAG Delosperma Rock Crystal Pink 100/100 Pixie Tag DO FUL</t>
  </si>
  <si>
    <t>TAG Delosperma Rock Crystal Purple 100/100 Pixie Tag DO FUL</t>
  </si>
  <si>
    <t>TAG Delosperma Rock Crystal Red 100/100 Pixie Tag DO FUL</t>
  </si>
  <si>
    <t>TAG Delosperma Rock Crystal White 100/100 Pixie Tag DO FUL</t>
  </si>
  <si>
    <t>TAG Delosperma Rock Crystal Yellow 100/100 Pixie Tag DO FUL</t>
  </si>
  <si>
    <t>TAG Delosperma Sandgem Ember 25/25 Portrait Tag</t>
  </si>
  <si>
    <t>TAG Delosperma Sandgem Gold 25/25 Portrait Tag</t>
  </si>
  <si>
    <t>TAG Delosperma Sandgem Series 100/100 Pixie Tag</t>
  </si>
  <si>
    <t>TAG Delosperma Solstice Orange 100/100 Pixie Tag DO FUL</t>
  </si>
  <si>
    <t>TAG Delosperma Solstice Pink 100/100 Pixie Tag DO FUL</t>
  </si>
  <si>
    <t>TAG Delosperma Solstice Purple 100/100 Pixie Tag DO FUL</t>
  </si>
  <si>
    <t>TAG Delosperma Solstice Purple Bicolor 100/100 Pixie Tag DO FUL</t>
  </si>
  <si>
    <t>TAG Delosperma Solstice Red 100/100 Pixie Tag DO FUL</t>
  </si>
  <si>
    <t>TAG Delosperma Solstice Rose 50/50 Petite Portrait DO FUL</t>
  </si>
  <si>
    <t>TAG Delosperma Solstice Scarlet Red 100/100 Pixie Tag DO FUL</t>
  </si>
  <si>
    <t>TAG Delosperma Solstice Yellow 100/100 Pixie Tag DO FUL</t>
  </si>
  <si>
    <t>TAG Delosperma Wheels Of Wonder Fire 100/100 Pixie Tag DO FUL</t>
  </si>
  <si>
    <t>TAG Delosperma Wheels Of Wonder Fire Wonder 25/25 Portrait Tag</t>
  </si>
  <si>
    <t>TAG Delosperma Wheels Of Wonder Golden Wonder 100/100 Pixie Tag DO FUL</t>
  </si>
  <si>
    <t>TAG Delosperma Wheels Of Wonder Golden Wonder 25/25 Portrait Tag</t>
  </si>
  <si>
    <t>TAG Delosperma Wheels Of Wonder Hot Orange 25/25 Portrait Tag</t>
  </si>
  <si>
    <t>TAG Delosperma Wheels Of Wonder Hot Orange 100/100 Pixie Tag DO FUL</t>
  </si>
  <si>
    <t>TAG Delosperma Wheels Of Wonder Hot Pink 100/100 Pixie Tag DO FUL</t>
  </si>
  <si>
    <t>TAG Delosperma Wheels Of Wonder Hot Pink Wonder 25/25 Portrait Tag</t>
  </si>
  <si>
    <t>TAG Delosperma Wheels Of Wonder Hot Red 100/100 Pixie Tag DO FUL</t>
  </si>
  <si>
    <t>TAG Delosperma Wheels Of Wonder Hot Red 25/25 Portrait Tag</t>
  </si>
  <si>
    <t>TAG Delosperma Wheels Of Wonder Limoncello 100/100 Pixie Tag DO FUL</t>
  </si>
  <si>
    <t>TAG Delosperma Wheels Of Wonder Limoncello 25/25 Portrait Tag</t>
  </si>
  <si>
    <t>TAG Delosperma Wheels Of Wonder Orange 100/100 Pixie Tag DO FUL</t>
  </si>
  <si>
    <t>TAG Delosperma Wheels Of Wonder Orange Wonder 25/25 Portrait Tag</t>
  </si>
  <si>
    <t>TAG Delosperma Wheels Of Wonder Purple 100/100 Pixie Tag DO FUL</t>
  </si>
  <si>
    <t>TAG Delosperma Wheels Of Wonder Salmony Pink 25/25 Portrait Tag</t>
  </si>
  <si>
    <t>TAG Delosperma Wheels Of Wonder Salmony 100/100 Pixie Tag DO FUL</t>
  </si>
  <si>
    <t>TAG Delosperma Wheels Of Wonder Violet 100/100 Pixie Tag DO FUL</t>
  </si>
  <si>
    <t>TAG Delosperma Wheels Of Wonder Violet Wonder 25/25 Portrait Tag</t>
  </si>
  <si>
    <t>TAG Delosperma Wheels Of Wonder White Limited Availability 100/100 Pixie Tag DO FUL</t>
  </si>
  <si>
    <t>TAG Delosperma Wheels Of Wonder Purple 25/25 Portrait Tag</t>
  </si>
  <si>
    <t>TAG Delphinium Astolat 100/100 Pixie Tag</t>
  </si>
  <si>
    <t>TAG Delphinium Astolat 25/25 Portrait Tag</t>
  </si>
  <si>
    <t>TAG Delphinium Aurora Blue 25/25 Portrait Tag</t>
  </si>
  <si>
    <t>TAG Delphinium Aurora Deep Purple 25/25 Portrait Tag</t>
  </si>
  <si>
    <t>TAG Delphinium Aurora Lavender 25/25 Portrait Tag</t>
  </si>
  <si>
    <t>TAG Delphinium Aurora Light Blue 25/25 Portrait Tag</t>
  </si>
  <si>
    <t>TAG Delphinium Aurora Light Purple 25/25 Portrait Tag</t>
  </si>
  <si>
    <t>TAG Delphinium Bellamosum X Belladonna 25/25 Portrait Tag</t>
  </si>
  <si>
    <t>TAG Delphinium Blue Bird 100/100 Pixie Tag</t>
  </si>
  <si>
    <t>TAG Delphinium Blue Bird 25/25 Portrait Tag</t>
  </si>
  <si>
    <t>TAG Delphinium Blue Butterfly 25/25 Portrait Tag</t>
  </si>
  <si>
    <t>TAG Delphinium Blue Butterfly Grandiflorum 100/100 Pixie Tag</t>
  </si>
  <si>
    <t>TAG Delphinium Blue Jay 100/100 Pixie Tag</t>
  </si>
  <si>
    <t>TAG Delphinium Blue Mirror Grandiflorum 25/25 Portrait Tag</t>
  </si>
  <si>
    <t>TAG Delphinium Black Knight 100/100 Pixie Tag</t>
  </si>
  <si>
    <t>TAG Delphinium Black Knight 25/25 Portrait Tag</t>
  </si>
  <si>
    <t>TAG Delphinium Cheer Blue Grandiflorum 25/25 Portrait Tag</t>
  </si>
  <si>
    <t>TAG Delphinium Connecticut Yankee 100/100 Pixie Tag</t>
  </si>
  <si>
    <t>TAG Delphinium Dasante Blue 25/25 Portrait Tag</t>
  </si>
  <si>
    <t>TAG Delphinium Diamonds Blue 25/25 Portrait Tag</t>
  </si>
  <si>
    <t>TAG Delphinium Dark Blue Black Bee 25/25 Portrait Tag SF</t>
  </si>
  <si>
    <t>TAG Delphinium Dark Blue White Bee 25/25 Portrait Tag SF</t>
  </si>
  <si>
    <t>TAG Delphinium Galahad 100/100 Pixie Tag</t>
  </si>
  <si>
    <t>TAG Delphinium Galahad 25/25 Portrait Tag</t>
  </si>
  <si>
    <t>TAG Delphinium Grandiflorum GENERIC 25/25 Portrait Tag</t>
  </si>
  <si>
    <t>TAG Delphinium Guardian Blue 25/25 Portrait Tag</t>
  </si>
  <si>
    <t>TAG Delphinium Guardian Lavender 25/25 Portrait Tag</t>
  </si>
  <si>
    <t>TAG Delphinium Guardian Series 25/25 Portrait Tag</t>
  </si>
  <si>
    <t>TAG Delphinium Guardian White 25/25 Portrait Tag</t>
  </si>
  <si>
    <t>TAG Delphinium Guinevere 25/25 Portrait Tag</t>
  </si>
  <si>
    <t>TAG Delphinium Hunky Dory Series 25/25 Portrait Tag</t>
  </si>
  <si>
    <t>TAG Delphinium Jenny's Pearl Bl 100/100 Pixie Tag</t>
  </si>
  <si>
    <t>TAG Delphinium Jenny?s Pearl Pink 100/100 Pixie Tag</t>
  </si>
  <si>
    <t>TAG Delphinium King Arthur 25/25 Portrait Tag</t>
  </si>
  <si>
    <t>TAG Delphinium Light Blue White Bee 25/25 Portrait Tag SF</t>
  </si>
  <si>
    <t>TAG Delphinium Magic Fountains Cherry Blossom 25/25 Portrait Tag</t>
  </si>
  <si>
    <t>TAG Delphinium Magic Fountains Crystal Mix 25/25 Portrait Tag</t>
  </si>
  <si>
    <t>TAG Delphinium Magic Fountains Dark Blue Dark Bee 25/25 Portrait Tag</t>
  </si>
  <si>
    <t>TAG Delphinium Magic Fountains Dark Blue White Bee 25/25 Portrait Tag</t>
  </si>
  <si>
    <t>TAG Delphinium Magic Fountains Lavender White Bee 25/25 Portrait Tag</t>
  </si>
  <si>
    <t>TAG Delphinium Magic Fountains Lilac Pink 25/25 Portrait Tag</t>
  </si>
  <si>
    <t>TAG Delphinium Magic Fountains Mid Blue White Bee 25/25 Portrait Tag</t>
  </si>
  <si>
    <t>TAG Delphinium Magic Fountains Pure White 25/25 Portrait Tag</t>
  </si>
  <si>
    <t>TAG Delphinium Magic Fountains Series 100/100 Pixie Tag</t>
  </si>
  <si>
    <t>TAG Delphinium Magic Fountains Series 25/25 Portrait Tag</t>
  </si>
  <si>
    <t>TAG Delphinium Magic Fountains Sky Blue 25/25 Portrait Tag</t>
  </si>
  <si>
    <t>TAG Delphinium Magic Fountains White Dark Bee 25/25 Portrait Tag</t>
  </si>
  <si>
    <t>TAG Delphinium Mix GENERIC 25/25 Portrait Tag</t>
  </si>
  <si>
    <t>TAG Delphinium Pacific Giants Mix 100/100 Pixie Tag</t>
  </si>
  <si>
    <t>TAG Delphinium Pink White Bee 25/25 Portrait Tag SF</t>
  </si>
  <si>
    <t>TAG Delphinium Red Lark 25/25 Portrait Tag</t>
  </si>
  <si>
    <t>TAG Delphinium Rose White Bee 25/25 Portrait Tag SF</t>
  </si>
  <si>
    <t>TAG Delphinium Summer Blues Grandiflorum 25/25 Portrait Tag</t>
  </si>
  <si>
    <t>TAG Delphinium Summer Cloud Grandiflorum 25/25 Portrait Tag</t>
  </si>
  <si>
    <t>TAG Delphinium Summer Colors Mix 25/25 Portrait Tag</t>
  </si>
  <si>
    <t>TAG Delphinium Summer Morning Grandiflorum 25/25 Portrait Tag</t>
  </si>
  <si>
    <t>TAG Delphinium Summer Nights Grandiflorum 25/25 Portrait Tag</t>
  </si>
  <si>
    <t>TAG Delphinium Summer Skies 25/25 Portrait Tag</t>
  </si>
  <si>
    <t>TAG Delphinium Summer Stars Grandiflorum 100/100 Pixie Tag</t>
  </si>
  <si>
    <t>TAG Delphinium White Black Bee 25/25 Portrait Tag SF</t>
  </si>
  <si>
    <t>TAG Deschampsia Caespitosa 25/25 Portrait Tag</t>
  </si>
  <si>
    <t>TAG Dianthus Amazon Neon Cherry 100/100 Pixie Tag</t>
  </si>
  <si>
    <t>TAG Dianthus Amazon Neon Duo 100/100 Pixie Tag</t>
  </si>
  <si>
    <t>TAG Dianthus Amazon Neon Purple 100/100 Pixie Tag</t>
  </si>
  <si>
    <t>TAG Dianthus Amazon Rose Magic 100/100 Pixie Tag</t>
  </si>
  <si>
    <t>TAG Dianthus Arabella Pink 100/100 Pixie Tag DO FUL</t>
  </si>
  <si>
    <t>TAG Dianthus Arabella Purple 100/100 Pixie Tag DO FUL</t>
  </si>
  <si>
    <t>TAG Dianthus Arabella White 100/100 Pixie Tag DO FUL</t>
  </si>
  <si>
    <t>TAG Dianthus Arctic Fire Deltoides 100/100 Pixie Tag</t>
  </si>
  <si>
    <t>TAG Dianthus Arctic Fire Deltoides 25/25 Portrait Tag</t>
  </si>
  <si>
    <t>TAG Dianthus Bacco 100/100 Pixie Tag DO FUL</t>
  </si>
  <si>
    <t>TAG Dianthus Barbarini Mix 25/25 Portrait Tag SF</t>
  </si>
  <si>
    <t>TAG Dianthus Barbarini Purple 25/25 Portrait Tag SF</t>
  </si>
  <si>
    <t>TAG Dianthus Barbarini Purple Bicolor 25/25 Portrait Tag SF</t>
  </si>
  <si>
    <t>TAG Dianthus Barbarini Purple Picotee 25/25 Portrait Tag SF</t>
  </si>
  <si>
    <t>TAG Dianthus Barbarini Red 25/25 Portrait Tag SF</t>
  </si>
  <si>
    <t>TAG Dianthus Barbarini Red Picotee 25/25 Portrait Tag SF</t>
  </si>
  <si>
    <t>TAG Dianthus Barbarini Rose 25/25 Portrait Tag SF</t>
  </si>
  <si>
    <t>TAG Dianthus Barbarini Salmon 25/25 Portrait Tag SF</t>
  </si>
  <si>
    <t>TAG Dianthus Barbarini Series 25/25 Portrait Tag SF</t>
  </si>
  <si>
    <t>TAG Dianthus Baths Pink 25/25 Portrait Tag</t>
  </si>
  <si>
    <t>TAG Dianthus Beauties Annabelle 100/100 Pixie Tag DO FUL</t>
  </si>
  <si>
    <t>TAG Dianthus Beauties Freya 100/100 Pixie Tag DO FUL</t>
  </si>
  <si>
    <t>TAG Dianthus Beauties Gisele 50/50 Petite Portrait DO FUL</t>
  </si>
  <si>
    <t>TAG Dianthus Beauties Kahori 100/100 Pixie Tag DO FUL</t>
  </si>
  <si>
    <t>TAG Dianthus Beauties Kahori Pink 100/100 Pixie Tag DO FUL</t>
  </si>
  <si>
    <t>TAG Dianthus Beauties Kahori Pink 50/50 Petite Portrait DO FUL</t>
  </si>
  <si>
    <t>TAG Dianthus Beauties Kahori Scarlet 100/100 Pixie Tag DO FUL</t>
  </si>
  <si>
    <t>TAG Dianthus Beauties Kaia 100/100 Pixie Tag DO FUL</t>
  </si>
  <si>
    <t>TAG Dianthus Beauties Kate 100/100 Pixie Tag DO FUL</t>
  </si>
  <si>
    <t>TAG Dianthus Beauties Melinda 100/100 Pixie Tag DO FUL</t>
  </si>
  <si>
    <t>TAG Dianthus Beauties Melinda 25/25 Portrait Tag</t>
  </si>
  <si>
    <t>TAG Dianthus Beauties Rebecca 100/100 Pixie Tag DO FUL</t>
  </si>
  <si>
    <t>TAG Dianthus Beauties Rebecca 25/25 Portrait Tag</t>
  </si>
  <si>
    <t>TAG Dianthus Beauties Rousey 100/100 Pixie Tag DO FUL</t>
  </si>
  <si>
    <t>TAG Dianthus Beauties Sasha 50/50 Petite Portrait DO FUL</t>
  </si>
  <si>
    <t>TAG Dianthus Beauties Sherise 100/100 Pixie Tag DO FUL</t>
  </si>
  <si>
    <t>TAG Dianthus Beauties Tiiu 100/100 Pixie Tag DO FUL</t>
  </si>
  <si>
    <t>TAG Dianthus Beauties Tiiu 25/25 Portrait Tag</t>
  </si>
  <si>
    <t>TAG Dianthus Beauties Tyra 100/100 Pixie Tag DO FUL</t>
  </si>
  <si>
    <t>TAG Dianthus Beauties Tyra 25/25 Portrait Tag</t>
  </si>
  <si>
    <t>TAG Dianthus Beauties Vida 100/100 Pixie Tag DO FUL</t>
  </si>
  <si>
    <t>TAG Dianthus Beauties Vida 25/25 Portrait Tag</t>
  </si>
  <si>
    <t>TAG Dianthus Beauties Yfke 50/50 Petite Portrait DO FUL</t>
  </si>
  <si>
    <t>TAG Dianthus Brilliant Deltoides 25/25 Portrait Tag</t>
  </si>
  <si>
    <t>TAG Dianthus Best Friends Forever Pink Passion 100/100 Pixie Tag</t>
  </si>
  <si>
    <t>TAG Dianthus Best Friends Forever Purple Passion 100/100 Pixie Tag</t>
  </si>
  <si>
    <t>TAG Dianthus Best Friends Forever Red Passion 100/100 Pixie Tag</t>
  </si>
  <si>
    <t>TAG Dianthus Best Friends Forever Rose Passion 100/100 Pixie Tag</t>
  </si>
  <si>
    <t>TAG Dianthus Best Friends Forever Scarlet Passion 100/100 Pixie Tag</t>
  </si>
  <si>
    <t>TAG Dianthus Best Friends Forever Violet Passion 100/100 Pixie Tag</t>
  </si>
  <si>
    <t>TAG Dianthus Carnation GENERIC 100/100 Pixie Tag</t>
  </si>
  <si>
    <t>TAG Dianthus Cliff Pink 100/100 Pixie Tag DO FUL</t>
  </si>
  <si>
    <t>TAG Dianthus Cliff Purple 100/100 Pixie Tag DO FUL</t>
  </si>
  <si>
    <t>TAG Dianthus Cliff Red 100/100 Pixie Tag DO FUL</t>
  </si>
  <si>
    <t>TAG Dianthus Colori Joy 100/100 Pixie Tag</t>
  </si>
  <si>
    <t>TAG Dianthus Colori Mica 100/100 Pixie Tag</t>
  </si>
  <si>
    <t>TAG Dianthus Colori Naomi 100/100 Pixie Tag</t>
  </si>
  <si>
    <t>TAG Dianthus Constant Beauty Crush Burgundy 25/25 Portrait Tag</t>
  </si>
  <si>
    <t>TAG Dianthus Constant Beauty Crush Cherry 25/25 Portrait Tag</t>
  </si>
  <si>
    <t>TAG Dianthus Constant Beauty Crush Orange 25/25 Portrait Tag</t>
  </si>
  <si>
    <t>TAG Dianthus Constant Beauty Crush Peach 25/25 Portrait Tag</t>
  </si>
  <si>
    <t>TAG Dianthus Constant Beauty Crush Pink 25/25 Portrait Tag</t>
  </si>
  <si>
    <t>TAG Dianthus Constant Beauty Crush Pomegranate 25/25 Portrait Tag</t>
  </si>
  <si>
    <t>TAG Dianthus Constant Beauty Crush Red 25/25 Portrait Tag</t>
  </si>
  <si>
    <t>TAG Dianthus Constant Beauty Crush Rose 25/25 Portrait Tag</t>
  </si>
  <si>
    <t>TAG Dianthus Constant Beauty Crush Wine 25/25 Portrait Tag</t>
  </si>
  <si>
    <t>TAG Dianthus Constant Beauty Crush Watermelon 25/25 Portrait Tag</t>
  </si>
  <si>
    <t>TAG Dianthus Constant Beauty Pink 25/25 Portrait Tag</t>
  </si>
  <si>
    <t>TAG Dianthus Constant Beauty Pink Red 25/25 Portrait Tag</t>
  </si>
  <si>
    <t>TAG Dianthus Constant Beauty Red 25/25 Portrait Tag</t>
  </si>
  <si>
    <t>TAG Dianthus Constant Beauty White 25/25 Portrait Tag</t>
  </si>
  <si>
    <t>TAG Dianthus Constant Beauty Yellow 25/25 Portrait Tag</t>
  </si>
  <si>
    <t>TAG Dianthus Constant Cadence Cherry 25/25 Portrait Tag</t>
  </si>
  <si>
    <t>TAG Dianthus Constant Cadence Milk Cherry 25/25 Portrait Tag</t>
  </si>
  <si>
    <t>TAG Dianthus Constant Cadence Peach Milk 25/25 Portrait Tag</t>
  </si>
  <si>
    <t>TAG Dianthus Constant Cadence Potpourri 25/25 Portrait Tag</t>
  </si>
  <si>
    <t>TAG Dianthus Constant Cadence Red 25/25 Portrait Tag</t>
  </si>
  <si>
    <t>TAG Dianthus Constant Cadence Raspberry 25/25 Portrait Tag</t>
  </si>
  <si>
    <t>TAG Dianthus Constant Cadence Salmon 25/25 Portrait Tag</t>
  </si>
  <si>
    <t>TAG Dianthus Constant Cadence White 25/25 Portrait Tag</t>
  </si>
  <si>
    <t>TAG Dianthus Constant Cherry Frost 25/25 Portrait Tag</t>
  </si>
  <si>
    <t>TAG Dianthus Constant Promise Papaya 25/25 Portrait Tag</t>
  </si>
  <si>
    <t>TAG Dianthus Constant Promise Red 25/25 Portrait Tag</t>
  </si>
  <si>
    <t>TAG Dianthus Constant Promise Raspberry 25/25 Portrait Tag</t>
  </si>
  <si>
    <t>TAG Dianthus Constant Promise Strawberry 25/25 Portrait Tag</t>
  </si>
  <si>
    <t>TAG Dianthus Coronet Cherry Red 100/100 Pixie Tag</t>
  </si>
  <si>
    <t>TAG Dianthus Coronet Mix 100/100 Pixie Tag</t>
  </si>
  <si>
    <t>TAG Dianthus Coronet Purple 100/100 Pixie Tag</t>
  </si>
  <si>
    <t>TAG Dianthus Coronet Red Magic 100/100 Pixie Tag</t>
  </si>
  <si>
    <t>TAG Dianthus Coronet Rose 100/100 Pixie Tag</t>
  </si>
  <si>
    <t>TAG Dianthus Coronet Salmon Red Eye 100/100 Pixie Tag</t>
  </si>
  <si>
    <t>TAG Dianthus Coronet Strawberry 100/100 Pixie Tag</t>
  </si>
  <si>
    <t>TAG Dianthus Coronet White 100/100 Pixie Tag</t>
  </si>
  <si>
    <t>TAG Dianthus Coronet White Purple Eye 100/100 Pixie Tag</t>
  </si>
  <si>
    <t>TAG Dianthus Cottage Pinks GENERIC 25/25 Portrait Tag</t>
  </si>
  <si>
    <t>TAG Dianthus Dart Pink Magician 100/100 Pixie Tag</t>
  </si>
  <si>
    <t>TAG Dianthus Dart Purple 100/100 Pixie Tag</t>
  </si>
  <si>
    <t>TAG Dianthus Dart Red White Picotee 100/100 Pixie Tag</t>
  </si>
  <si>
    <t>TAG Dianthus Dart Scarlet 100/100 Pixie Tag</t>
  </si>
  <si>
    <t>TAG Dianthus Dart White 100/100 Pixie Tag</t>
  </si>
  <si>
    <t>TAG Dianthus Dash Series 100/100 Pixie Tag</t>
  </si>
  <si>
    <t>TAG Dianthus Delilah Bicolor Magenta 25/25 Portrait Tag</t>
  </si>
  <si>
    <t>TAG Dianthus Delilah Bicolor Purple Plumrose 25/25 Portrait Tag</t>
  </si>
  <si>
    <t>TAG Dianthus Devine Series 100/100 Pixie Tag</t>
  </si>
  <si>
    <t>TAG Dianthus Diabunda Mix 100/100 Pixie Tag SF</t>
  </si>
  <si>
    <t>TAG Dianthus Diabunda Pink Pearl 100/100 Pixie Tag SF</t>
  </si>
  <si>
    <t>TAG Dianthus Diabunda Purple 100/100 Pixie Tag SF</t>
  </si>
  <si>
    <t>TAG Dianthus Diabunda Purple Picotee 100/100 Pixie Tag SF</t>
  </si>
  <si>
    <t>TAG Dianthus Diabunda Red 100/100 Pixie Tag SF</t>
  </si>
  <si>
    <t>TAG Dianthus Diabunda Red Picotee 100/100 Pixie Tag SF</t>
  </si>
  <si>
    <t>TAG Dianthus Diabunda Rose 100/100 Pixie Tag SF</t>
  </si>
  <si>
    <t>TAG Dianthus Diamond Blush Pink 100/100 Pixie Tag SF</t>
  </si>
  <si>
    <t>TAG Dianthus Diamond Carmine Rose 100/100 Pixie Tag SF</t>
  </si>
  <si>
    <t>TAG Dianthus Diamond Coral 100/100 Pixie Tag SF</t>
  </si>
  <si>
    <t>TAG Dianthus Diamond Mix 100/100 Pixie Tag SF</t>
  </si>
  <si>
    <t>TAG Dianthus Diamond Pink 100/100 Pixie Tag SF</t>
  </si>
  <si>
    <t>TAG Dianthus Diamond Purple 100/100 Pixie Tag SF</t>
  </si>
  <si>
    <t>TAG Dianthus Diamond Purple Picotee 100/100 Pixie Tag SF</t>
  </si>
  <si>
    <t>TAG Dianthus Diamond Scarlet 100/100 Pixie Tag SF</t>
  </si>
  <si>
    <t>TAG Dianthus Diamond White 100/100 Pixie Tag SF</t>
  </si>
  <si>
    <t>TAG Dianthus Diana Series 100/100 Pixie Tag</t>
  </si>
  <si>
    <t>TAG Dianthus Disco Rumba 100/100 Pixie Tag</t>
  </si>
  <si>
    <t>TAG Dianthus Double Midget Mix 100/100 Pixie Tag</t>
  </si>
  <si>
    <t>TAG Dianthus Dwarf Double Mix 25/25 Portrait Tag</t>
  </si>
  <si>
    <t>TAG Dianthus Edgy Magic Magenta 25/25 Portrait Tag</t>
  </si>
  <si>
    <t>TAG Dianthus Edgy Neon Pink 25/25 Portrait Tag</t>
  </si>
  <si>
    <t>TAG Dianthus Edgy Pink Swirl 25/25 Portrait Tag</t>
  </si>
  <si>
    <t>TAG Dianthus Firewitch 25/25 Portrait Tag</t>
  </si>
  <si>
    <t>TAG Dianthus Flashing Lights Deltoides 25/25 Portrait Tag</t>
  </si>
  <si>
    <t>TAG Dianthus Floral Lace Cherry 100/100 Pixie Tag</t>
  </si>
  <si>
    <t>TAG Dianthus Floral Lace Crimson 100/100 Pixie Tag</t>
  </si>
  <si>
    <t>TAG Dianthus Floral Lace Light Pink 100/100 Pixie Tag</t>
  </si>
  <si>
    <t>TAG Dianthus Floral Lace Lilac 100/100 Pixie Tag</t>
  </si>
  <si>
    <t>TAG Dianthus Floral Lace Mix 100/100 Pixie Tag</t>
  </si>
  <si>
    <t>TAG Dianthus Floral Lace Picotee 100/100 Pixie Tag</t>
  </si>
  <si>
    <t>TAG Dianthus Floral Lace Purple 100/100 Pixie Tag</t>
  </si>
  <si>
    <t>TAG Dianthus Floral Lace Red 100/100 Pixie Tag</t>
  </si>
  <si>
    <t>TAG Dianthus Floral Lace Rose 100/100 Pixie Tag</t>
  </si>
  <si>
    <t>TAG Dianthus Floral Lace True Rose 100/100 Pixie Tag</t>
  </si>
  <si>
    <t>TAG Dianthus Floral Lace Violet 100/100 Pixie Tag</t>
  </si>
  <si>
    <t>TAG Dianthus Floral Lace Violet Picotee 100/100 Pixie Tag</t>
  </si>
  <si>
    <t>TAG Dianthus Floral Lace White 100/100 Pixie Tag</t>
  </si>
  <si>
    <t>TAG Dianthus Flow Apella Beach 100/100 Pixie Tag</t>
  </si>
  <si>
    <t>TAG Dianthus Flow Blinky Beach 100/100 Pixie Tag</t>
  </si>
  <si>
    <t>TAG Dianthus Flow Bondi Beach 100/100 Pixie Tag</t>
  </si>
  <si>
    <t>TAG Dianthus Flow Crane Beach 100/100 Pixie Tag</t>
  </si>
  <si>
    <t>TAG Dianthus Flow Dream Beach 100/100 Pixie Tag</t>
  </si>
  <si>
    <t>TAG Dianthus Flow Glen Bay 100/100 Pixie Tag</t>
  </si>
  <si>
    <t>TAG Dianthus Flow Golden Bay 100/100 Pixie Tag</t>
  </si>
  <si>
    <t>TAG Dianthus Flow Grace Bay 100/100 Pixie Tag</t>
  </si>
  <si>
    <t>TAG Dianthus Flow Miami Beach 100/100 Pixie Tag</t>
  </si>
  <si>
    <t>TAG Dianthus Flow Red Beach 100/100 Pixie Tag</t>
  </si>
  <si>
    <t>TAG Dianthus Flow Shark Bay 100/100 Pixie Tag</t>
  </si>
  <si>
    <t>TAG Dianthus Flow South Beach 100/100 Pixie Tag</t>
  </si>
  <si>
    <t>TAG Dianthus Flow White Bay 100/100 Pixie Tag</t>
  </si>
  <si>
    <t>TAG Dianthus Frosty Fire Allwoodii 25/25 Portrait Tag</t>
  </si>
  <si>
    <t>TAG Dianthus Garden Pinks GENERIC 25/25 Portrait Tag</t>
  </si>
  <si>
    <t>TAG Dianthus Garden Pleasures Series 100/100 Pixie Tag</t>
  </si>
  <si>
    <t>TAG Dianthus Garden Pinks GENERIC Allwoodii 25/25 Portrait Tag</t>
  </si>
  <si>
    <t>TAG Dianthus GENERIC 100/100 Hang Tag</t>
  </si>
  <si>
    <t>TAG Dianthus Bilingual GENERIC 100/100 Pixie Tag</t>
  </si>
  <si>
    <t>TAG Dianthus Grenadin Golden Sun 25/25 Portrait Tag</t>
  </si>
  <si>
    <t>TAG Dianthus Grenadin Mix 100/100 Pixie Tag</t>
  </si>
  <si>
    <t>TAG Dianthus Grenadin Mix 25/25 Portrait Tag</t>
  </si>
  <si>
    <t>TAG Dianthus Grenadin Pink 100/100 Pixie Tag</t>
  </si>
  <si>
    <t>TAG Dianthus Grenadin Red 100/100 Pixie Tag</t>
  </si>
  <si>
    <t>TAG Dianthus Hearts Of Fire 100/100 Pixie Tag</t>
  </si>
  <si>
    <t>TAG Dianthus Ideal Mix 100/100 Pixie Tag</t>
  </si>
  <si>
    <t>TAG Dianthus Ideal Select Mix 100/100 Pixie Tag</t>
  </si>
  <si>
    <t>TAG Dianthus Ideal Select Raspberry 100/100 Pixie Tag</t>
  </si>
  <si>
    <t>TAG Dianthus Ideal Select Red 100/100 Pixie Tag</t>
  </si>
  <si>
    <t>TAG Dianthus Ideal Select Rose 100/100 Pixie Tag</t>
  </si>
  <si>
    <t>TAG Dianthus Ideal Select Salmon 100/100 Pixie Tag</t>
  </si>
  <si>
    <t>TAG Dianthus Ideal Select Violet 100/100 Pixie Tag</t>
  </si>
  <si>
    <t>TAG Dianthus Ideal Select White 100/100 Pixie Tag</t>
  </si>
  <si>
    <t>TAG Dianthus Ideal Select White Fire 100/100 Pixie Tag</t>
  </si>
  <si>
    <t>TAG Dianthus Ideal White 100/100 Pixie Tag</t>
  </si>
  <si>
    <t>TAG Dianthus Indian Carpet Mix 100/100 Pixie Tag</t>
  </si>
  <si>
    <t>TAG Dianthus Indian Carpet Mix 25/25 Portrait Tag</t>
  </si>
  <si>
    <t>TAG Dianthus IQ Blueberry Picotee 100/100 Pixie Tag</t>
  </si>
  <si>
    <t>TAG Dianthus IQ Mix 100/100 Pixie Tag</t>
  </si>
  <si>
    <t>TAG Dianthus IQ Purple 100/100 Pixie Tag</t>
  </si>
  <si>
    <t>TAG Dianthus IQ Raspberry Picotee 100/100 Pixie Tag</t>
  </si>
  <si>
    <t>TAG Dianthus IQ Scarlet 100/100 Pixie Tag</t>
  </si>
  <si>
    <t>TAG Dianthus Jolt Cherry 100/100 Pixie Tag</t>
  </si>
  <si>
    <t>TAG Dianthus Jolt Pink 100/100 Pixie Tag</t>
  </si>
  <si>
    <t>TAG Dianthus Jolt Pink Magic 100/100 Pixie Tag</t>
  </si>
  <si>
    <t>TAG Dianthus Jolt Purple 100/100 Pixie Tag</t>
  </si>
  <si>
    <t>TAG Dianthus Beauties Kahori 25/25 Portrait Tag</t>
  </si>
  <si>
    <t>TAG Dianthus Beauties Kahori Pink 25/25 Portrait Tag</t>
  </si>
  <si>
    <t>TAG Dianthus Beauties Kahori Scarlet 25/25 Portrait Tag</t>
  </si>
  <si>
    <t>TAG Dianthus King Of The Blacks 25/25 Portrait Tag</t>
  </si>
  <si>
    <t>TAG Dianthus Lillipot Mix 100/100 Pixie Tag</t>
  </si>
  <si>
    <t>TAG Dianthus Mad Magenta 100/100 Pixie Tag DO FUL</t>
  </si>
  <si>
    <t>TAG Dianthus Merlot Mix 100/100 Pixie Tag</t>
  </si>
  <si>
    <t>TAG Dianthus Mix 25/25 Portrait Tag</t>
  </si>
  <si>
    <t>TAG Dianthus Mountain Frost Pink Carpet 25/25 Portrait Tag</t>
  </si>
  <si>
    <t>TAG Dianthus Mountain Frost Pink PomPom 25/25 Portrait Tag</t>
  </si>
  <si>
    <t>TAG Dianthus Mountain Frost Pink Twinkle 25/25 Portrait Tag</t>
  </si>
  <si>
    <t>TAG Dianthus Mountain Frost Red Garnet 25/25 Portrait Tag</t>
  </si>
  <si>
    <t>TAG Dianthus Mountain Frost Rose Bouquet 25/25 Portrait Tag</t>
  </si>
  <si>
    <t>TAG Dianthus Mountain Frost Ruby Glitter 25/25 Portrait Tag</t>
  </si>
  <si>
    <t>TAG Dianthus Mountain Frost Ruby Snow 25/25 Portrait Tag</t>
  </si>
  <si>
    <t>TAG Dianthus Mountain Frost Silver Strike 25/25 Portrait Tag</t>
  </si>
  <si>
    <t>TAG Dianthus Mountain Frost White Twinkle 25/25 Portrait Tag</t>
  </si>
  <si>
    <t>TAG Dianthus Odessa Amy 100/100 Pixie Tag DO FUL</t>
  </si>
  <si>
    <t>TAG Dianthus Odessa Amy Limited Availability 50/50 Petite Portrait DO FUL</t>
  </si>
  <si>
    <t>TAG Dianthus Odessa Bling Bling 100/100 Pixie Tag DO FUL</t>
  </si>
  <si>
    <t>TAG Dianthus Odessa Cerise Bling Bling 100/100 Pixie Tag DO FUL</t>
  </si>
  <si>
    <t>TAG Dianthus Odessa Early Pink 50/50 Petite Portrait DO FUL</t>
  </si>
  <si>
    <t>TAG Dianthus Odessa Joelle 50/50 Petite Portrait DO FUL</t>
  </si>
  <si>
    <t>TAG Dianthus Odessa Nicky 100/100 Pixie Tag DO FUL</t>
  </si>
  <si>
    <t>TAG Dianthus Odessa Nicky Limited Availability 50/50 Petite Portrait DO FUL</t>
  </si>
  <si>
    <t>TAG Dianthus Odessa Orange Bling Bling 100/100 Pixie Tag DO FUL</t>
  </si>
  <si>
    <t>TAG Dianthus Odessa Orange Bling Bling 50/50 Petite Portrait DO FUL</t>
  </si>
  <si>
    <t>TAG Dianthus Odessa Pierrot 100/100 Pixie Tag DO FUL</t>
  </si>
  <si>
    <t>TAG Dianthus Odessa Pure 100/100 Pixie Tag DO FUL</t>
  </si>
  <si>
    <t>TAG Dianthus Odessa Red 100/100 Pixie Tag DO FUL</t>
  </si>
  <si>
    <t>TAG Dianthus Odessa Twiggy 100/100 Pixie Tag DO FUL</t>
  </si>
  <si>
    <t>TAG Dianthus Odessa Yellow Bling Bling 100/100 Pixie Tag DO FUL</t>
  </si>
  <si>
    <t>TAG Dianthus Olivia Bella 100/100 Pixie Tag DO FUL</t>
  </si>
  <si>
    <t>TAG Dianthus Olivia Cherry 100/100 Pixie Tag DO FUL</t>
  </si>
  <si>
    <t>TAG Dianthus Olivia Sweet 100/100 Pixie Tag DO FUL</t>
  </si>
  <si>
    <t>TAG Dianthus Olivia Wild 100/100 Pixie Tag DO FUL</t>
  </si>
  <si>
    <t>TAG Dianthus Olivia Wild Limited Availability 50/50 Petite Portrait DO FUL</t>
  </si>
  <si>
    <t>TAG Dianthus Parfait Raspberry 100/100 Pixie Tag</t>
  </si>
  <si>
    <t>TAG Dianthus Parfait Strawberry 100/100 Pixie Tag</t>
  </si>
  <si>
    <t>TAG Dianthus Peman 100/100 Pixie Tag DO FUL</t>
  </si>
  <si>
    <t>TAG Dianthus Peman Fancy Cerise 100/100 Pixie Tag DO FUL</t>
  </si>
  <si>
    <t>TAG Dianthus Peman Fancy Lilac 100/100 Pixie Tag DO FUL</t>
  </si>
  <si>
    <t>TAG Dianthus Peman Red 100/100 Pixie Tag DO FUL</t>
  </si>
  <si>
    <t>TAG Dianthus Peman Violet 100/100 Pixie Tag DO FUL</t>
  </si>
  <si>
    <t>TAG Dianthus Red Picotee GENERIC 100/100 Pixie Tag</t>
  </si>
  <si>
    <t>TAG Dianthus Rock Candy 100/100 Pixie Tag DO FUL</t>
  </si>
  <si>
    <t>TAG Dianthus Rock Compact 100/100 Pixie Tag DO FUL</t>
  </si>
  <si>
    <t>TAG Dianthus Rock Purple 100/100 Pixie Tag DO FUL</t>
  </si>
  <si>
    <t>TAG Dianthus Rock Ruby 100/100 Pixie Tag DO FUL</t>
  </si>
  <si>
    <t>TAG Dianthus Rock Violet 100/100 Pixie Tag DO FUL</t>
  </si>
  <si>
    <t>TAG Dianthus Rock White 100/100 Pixie Tag DO FUL</t>
  </si>
  <si>
    <t>TAG Dianthus Rockin' Pink Magic 100/100 Pixie Tag</t>
  </si>
  <si>
    <t>TAG Dianthus Rockin' Pink Magic 25/25 Portrait Tag</t>
  </si>
  <si>
    <t>TAG Dianthus Rockin' Purple 100/100 Pixie Tag</t>
  </si>
  <si>
    <t>TAG Dianthus Rockin' Purple 25/25 Portrait Tag</t>
  </si>
  <si>
    <t>TAG Dianthus Rockin' Red 100/100 Pixie Tag</t>
  </si>
  <si>
    <t>TAG Dianthus Rockin' Red 25/25 Portrait Tag</t>
  </si>
  <si>
    <t>TAG Dianthus Rockin' Rose 100/100 Pixie Tag</t>
  </si>
  <si>
    <t>TAG Dianthus Rockin' Rose 25/25 Portrait Tag</t>
  </si>
  <si>
    <t>TAG Dianthus Rosequartz 25/25 Portrait Tag</t>
  </si>
  <si>
    <t>TAG Dianthus Roselly Series 100/100 Pixie Tag</t>
  </si>
  <si>
    <t>TAG Dianthus Scent From Heaven Angel Of Charm 25/25 Portrait Tag</t>
  </si>
  <si>
    <t>TAG Dianthus Scent From Heaven Angel Of Compassion 25/25 Portrait Tag</t>
  </si>
  <si>
    <t>TAG Dianthus Scent From Heaven Angel Of Desire 25/25 Portrait Tag</t>
  </si>
  <si>
    <t>TAG Dianthus Scent From Heaven Angel Of Enlightenment 25/25 Portrait Tag</t>
  </si>
  <si>
    <t>TAG Dianthus Scent From Heaven Angel Of Forgivness 25/25 Portrait Tag</t>
  </si>
  <si>
    <t>TAG Dianthus Scent From Heaven Angel Of Hope 25/25 Portrait Tag</t>
  </si>
  <si>
    <t>TAG Dianthus Scent From Heaven Angel Of Harmony 25/25 Portrait Tag</t>
  </si>
  <si>
    <t>TAG Dianthus Scent From Heaven Angel Of Joy 25/25 Portrait Tag</t>
  </si>
  <si>
    <t>TAG Dianthus Scent From Heaven Angel Of Peace 25/25 Portrait Tag</t>
  </si>
  <si>
    <t>TAG Dianthus Scent From Heaven Angel Of Purity 25/25 Portrait Tag</t>
  </si>
  <si>
    <t>TAG Dianthus Scent From Heaven Angel Of Virtue 25/25 Portrait Tag</t>
  </si>
  <si>
    <t>TAG Dianthus Short White GENERIC 100/100 Pixie Tag</t>
  </si>
  <si>
    <t>TAG Dianthus Sprint Angie 100/100 Pixie Tag DO FUL</t>
  </si>
  <si>
    <t>TAG Dianthus Sprint Bordeaux 100/100 Pixie Tag DO FUL</t>
  </si>
  <si>
    <t>TAG Dianthus Sprint Bright Red 100/100 Pixie Tag DO FUL</t>
  </si>
  <si>
    <t>TAG Dianthus Sprint Dark Pink 100/100 Pixie Tag DO FUL</t>
  </si>
  <si>
    <t>TAG Dianthus Sprint Dark Red 100/100 Pixie Tag DO FUL</t>
  </si>
  <si>
    <t>TAG Dianthus Sprint Fancy Purple 100/100 Pixie Tag DO FUL</t>
  </si>
  <si>
    <t>TAG Dianthus Sprint Pink 100/100 Pixie Tag DO FUL</t>
  </si>
  <si>
    <t>TAG Dianthus Sprint Pink Shades 100/100 Pixie Tag DO FUL</t>
  </si>
  <si>
    <t>TAG Dianthus Sprint Pink And Polished 50/50 Petite Portrait DO FUL</t>
  </si>
  <si>
    <t>TAG Dianthus Sprint Salmon 100/100 Pixie Tag DO FUL</t>
  </si>
  <si>
    <t>TAG Dianthus Sprint White 100/100 Pixie Tag DO FUL</t>
  </si>
  <si>
    <t>TAG Dianthus Sugar N Spice 25/25 Portrait Tag</t>
  </si>
  <si>
    <t>TAG Dianthus Sunflor Allura 100/100 Pixie Tag DO FUL</t>
  </si>
  <si>
    <t>TAG Dianthus Sunflor Allura 25/25 Portrait Tag</t>
  </si>
  <si>
    <t>TAG Dianthus Sunflor Allura Red 100/100 Pixie Tag DO FUL</t>
  </si>
  <si>
    <t>TAG Dianthus Sunflor Allura Red 25/25 Portrait Tag</t>
  </si>
  <si>
    <t>TAG Dianthus Sunflor Amber 100/100 Pixie Tag DO FUL</t>
  </si>
  <si>
    <t>TAG Dianthus Sunflor Amber 25/25 Portrait Tag</t>
  </si>
  <si>
    <t>TAG Dianthus Sunflor Beetle 50/50 Petite Portrait DO FUL</t>
  </si>
  <si>
    <t>TAG Dianthus Sunflor Bowie 100/100 Pixie Tag DO FUL</t>
  </si>
  <si>
    <t>TAG Dianthus Sunflor Bowie 25/25 Portrait Tag</t>
  </si>
  <si>
    <t>TAG Dianthus Sunflor Charmy 100/100 Pixie Tag DO FUL</t>
  </si>
  <si>
    <t>TAG Dianthus Sunflor Charmy 25/25 Portrait Tag</t>
  </si>
  <si>
    <t>TAG Dianthus Sunflor Cody 100/100 Pixie Tag DO FUL</t>
  </si>
  <si>
    <t>TAG Dianthus Sunflor Cody 25/25 Portrait Tag</t>
  </si>
  <si>
    <t>TAG Dianthus Sunflor Cosmos 100/100 Pixie Tag DO FUL</t>
  </si>
  <si>
    <t>TAG Dianthus Sunflor Cosmos 25/25 Portrait Tag</t>
  </si>
  <si>
    <t>TAG Dianthus Sunflor Cosmos Limited Availability 50/50 Petite Portrait DO FUL</t>
  </si>
  <si>
    <t>TAG Dianthus Sunflor Dynamite 100/100 Pixie Tag DO FUL</t>
  </si>
  <si>
    <t>TAG Dianthus Sunflor Dynamite 25/25 Portrait Tag</t>
  </si>
  <si>
    <t>TAG Dianthus Sunflor Esta 100/100 Pixie Tag DO FUL</t>
  </si>
  <si>
    <t>TAG Dianthus Sunflor Esta 25/25 Portrait Tag</t>
  </si>
  <si>
    <t>TAG Dianthus Sunflor Faganza 100/100 Pixie Tag DO FUL</t>
  </si>
  <si>
    <t>TAG Dianthus Sunflor Faganza 25/25 Portrait Tag</t>
  </si>
  <si>
    <t>TAG Dianthus Sunflor Finesse 100/100 Pixie Tag DO FUL</t>
  </si>
  <si>
    <t>TAG Dianthus Sunflor Finesse 25/25 Portrait Tag</t>
  </si>
  <si>
    <t>TAG Dianthus Sunflor Hailey 100/100 Pixie Tag DO FUL</t>
  </si>
  <si>
    <t>TAG Dianthus Sunflor Hailey 25/25 Portrait Tag</t>
  </si>
  <si>
    <t>TAG Dianthus Sunflor Harper 100/100 Pixie Tag DO FUL</t>
  </si>
  <si>
    <t>TAG Dianthus Sunflor Harper 25/25 Portrait Tag</t>
  </si>
  <si>
    <t>TAG Dianthus Sunflor Kaylee 100/100 Pixie Tag DO FUL</t>
  </si>
  <si>
    <t>TAG Dianthus Sunflor Kaylee 25/25 Portrait Tag</t>
  </si>
  <si>
    <t>TAG Dianthus Sunflor Kaylee 50/50 Petite Portrait DO FUL</t>
  </si>
  <si>
    <t>TAG Dianthus Sunflor Lady Beetle 100/100 Pixie Tag DO FUL</t>
  </si>
  <si>
    <t>TAG Dianthus Sunflor Lilac Charmy 50/50 Petite Portrait DO FUL</t>
  </si>
  <si>
    <t>TAG Dianthus Sunflor Luigi 100/100 Pixie Tag DO FUL</t>
  </si>
  <si>
    <t>TAG Dianthus Sunflor Luigi 25/25 Portrait Tag</t>
  </si>
  <si>
    <t>TAG Dianthus Sunflor Luigi Limited Availability 50/50 Petite Portrait DO FUL</t>
  </si>
  <si>
    <t>TAG Dianthus Sunflor Margarita 50/50 Petite Portrait DO FUL</t>
  </si>
  <si>
    <t>TAG Dianthus Sunflor Megan 50/50 Petite Portrait DO FUL</t>
  </si>
  <si>
    <t>TAG Dianthus Sunflor Mimi 100/100 Pixie Tag DO FUL</t>
  </si>
  <si>
    <t>TAG Dianthus Sunflor Mimi 25/25 Portrait Tag</t>
  </si>
  <si>
    <t>TAG Dianthus Sunflor Norah 50/50 Petite Portrait DO FUL</t>
  </si>
  <si>
    <t>TAG Dianthus Sunflor Paige 100/100 Pixie Tag DO FUL</t>
  </si>
  <si>
    <t>TAG Dianthus Sunflor Pink Faganza 25/25 Portrait Tag</t>
  </si>
  <si>
    <t>TAG Dianthus Sunflor Pink Faganza Limited Availability 50/50 Petite Portrait DO FUL</t>
  </si>
  <si>
    <t>TAG Dianthus Sunflor Red Bull 50/50 Petite Portrait DO FUL</t>
  </si>
  <si>
    <t>TAG Dianthus Sunflor Red Esta 100/100 Pixie Tag DO FUL</t>
  </si>
  <si>
    <t>TAG Dianthus Sunflor Red Esta 25/25 Portrait Tag</t>
  </si>
  <si>
    <t>TAG Dianthus Sunflor Riley 100/100 Pixie Tag DO FUL</t>
  </si>
  <si>
    <t>TAG Dianthus Sunflor Riley 25/25 Portrait Tag</t>
  </si>
  <si>
    <t>TAG Dianthus Sunflor Sasha 50/50 Petite Portrait DO FUL</t>
  </si>
  <si>
    <t>TAG Dianthus Sunflor Sinclair 100/100 Pixie Tag DO FUL</t>
  </si>
  <si>
    <t>TAG Dianthus Sunflor Skylar 100/100 Pixie Tag DO FUL</t>
  </si>
  <si>
    <t>TAG Dianthus Sunflor Skylar 25/25 Portrait Tag</t>
  </si>
  <si>
    <t>TAG Dianthus Sunflor Sofia 100/100 Pixie Tag DO FUL</t>
  </si>
  <si>
    <t>TAG Dianthus Sunflor Sofia 25/25 Portrait Tag</t>
  </si>
  <si>
    <t>TAG Dianthus Sunflor Vivre 100/100 Pixie Tag DO FUL</t>
  </si>
  <si>
    <t>TAG Dianthus Sunflor Vivre 25/25 Portrait Tag</t>
  </si>
  <si>
    <t>TAG Dianthus Sunflor Vulcano 100/100 Pixie Tag DO FUL</t>
  </si>
  <si>
    <t>TAG Dianthus Sunflor Vulcano 25/25 Portrait Tag</t>
  </si>
  <si>
    <t>TAG Dianthus Super Parfait Raspberry 100/100 Pixie Tag SF</t>
  </si>
  <si>
    <t>TAG Dianthus Super Parfait Red Peppermint 100/100 Pixie Tag SF</t>
  </si>
  <si>
    <t>TAG Dianthus Super Parfait Series 100/100 Pixie Tag SF</t>
  </si>
  <si>
    <t>TAG Dianthus Super Parfait Strawberry 100/100 Pixie Tag SF</t>
  </si>
  <si>
    <t>TAG Dianthus Supra Purple 100/100 Pixie Tag</t>
  </si>
  <si>
    <t>TAG Dianthus Sweet Series 100/100 Pixie Tag</t>
  </si>
  <si>
    <t>TAG Dianthus Sweet William GENERIC 25/25 Portrait Tag</t>
  </si>
  <si>
    <t>TAG Dianthus Sweety Pink 100/100 Pixie Tag DO FUL</t>
  </si>
  <si>
    <t>TAG Dianthus Sweety Purple 100/100 Pixie Tag DO FUL</t>
  </si>
  <si>
    <t>TAG Dianthus Telstar Burgundy 100/100 Pixie Tag</t>
  </si>
  <si>
    <t>TAG Dianthus Telstar Carmine Rose 100/100 Pixie Tag</t>
  </si>
  <si>
    <t>TAG Dianthus Telstar Coral 100/100 Pixie Tag</t>
  </si>
  <si>
    <t>TAG Dianthus Telstar Crimson 100/100 Pixie Tag</t>
  </si>
  <si>
    <t>TAG Dianthus Telstar Mix 100/100 Pixie Tag</t>
  </si>
  <si>
    <t>TAG Dianthus Telstar Picotee 100/100 Pixie Tag</t>
  </si>
  <si>
    <t>TAG Dianthus Telstar Pink 100/100 Pixie Tag</t>
  </si>
  <si>
    <t>TAG Dianthus Telstar Purple 100/100 Pixie Tag</t>
  </si>
  <si>
    <t>TAG Dianthus Telstar Purple Picotee 100/100 Pixie Tag</t>
  </si>
  <si>
    <t>TAG Dianthus Telstar Salmon 100/100 Pixie Tag</t>
  </si>
  <si>
    <t>TAG Dianthus Telstar Scarlet 100/100 Pixie Tag</t>
  </si>
  <si>
    <t>TAG Dianthus Telstar White 100/100 Pixie Tag</t>
  </si>
  <si>
    <t>TAG Dianthus Tiny Rubies 25/25 Portrait Tag</t>
  </si>
  <si>
    <t>TAG Dianthus Vampire Deltoides 25/25 Portrait Tag</t>
  </si>
  <si>
    <t>TAG Dianthus Venti Parfait Blueberry Eye 100/100 Pixie Tag SF</t>
  </si>
  <si>
    <t>TAG Dianthus Venti Parfait Crimson 100/100 Pixie Tag SF</t>
  </si>
  <si>
    <t>TAG Dianthus Venti Parfait Crimson Eye 100/100 Pixie Tag SF</t>
  </si>
  <si>
    <t>TAG Dianthus Venti Parfait Strawberry Shades 100/100 Pixie Tag SF</t>
  </si>
  <si>
    <t>TAG Dianthus Wee Willie Mix 100/100 Pixie Tag</t>
  </si>
  <si>
    <t>TAG Dianthus Zing Rose Deltoides 25/25 Portrait Tag</t>
  </si>
  <si>
    <t>TAG Diascia Darla Appleblossom 50/50 Petite Portrait SF FUL</t>
  </si>
  <si>
    <t>TAG Diascia Darla Deep Salmon 50/50 Petite Portrait SF FUL</t>
  </si>
  <si>
    <t>TAG Diascia Darla Light Pink Ce0770 50/50 Petite Portrait SF FUL</t>
  </si>
  <si>
    <t>TAG Diascia Darla Orange 50/50 Petite Portrait SF FUL</t>
  </si>
  <si>
    <t>TAG Diascia Darla Red 50/50 Petite Portrait SF FUL</t>
  </si>
  <si>
    <t>TAG Diascia Darla Rose 50/50 Petite Portrait SF FUL</t>
  </si>
  <si>
    <t>TAG Diascia Darla White 50/50 Petite Portrait SF FUL</t>
  </si>
  <si>
    <t>TAG Diascia Genta Series 100/100 Pixie Tag</t>
  </si>
  <si>
    <t>TAG Diascia GENERIC 100/100 Pixie Tag</t>
  </si>
  <si>
    <t>TAG Diascia My Darling Berry 50/50 Petite Portrait DO FUL</t>
  </si>
  <si>
    <t>TAG Diascia My Darling Peach 50/50 Petite Portrait DO FUL</t>
  </si>
  <si>
    <t>TAG Diascia My Darling Tangerine 50/50 Petite Portrait DO FUL</t>
  </si>
  <si>
    <t>TAG Diascia My Darling White 50/50 Petite Portrait DO FUL</t>
  </si>
  <si>
    <t>TAG Diascia Trinity Grace 100/100 Pixie Tag</t>
  </si>
  <si>
    <t>TAG Diascia Trinity Sunset 100/100 Pixie Tag</t>
  </si>
  <si>
    <t>TAG Dicentra Alba Spectabilis 25/25 Portrait Tag</t>
  </si>
  <si>
    <t>TAG Dicentra Eximia 25/25 Portrait Tag</t>
  </si>
  <si>
    <t>TAG Dicentra Gold Heart 25/25 Portrait Tag</t>
  </si>
  <si>
    <t>TAG Dicentra Luxuriant 25/25 Portrait Tag</t>
  </si>
  <si>
    <t>TAG Dicentra Old Fashioned 25/25 Portrait Tag</t>
  </si>
  <si>
    <t>TAG Dichondra Emerald Falls 100/100 Pixie Tag</t>
  </si>
  <si>
    <t>TAG Dichondra Silver Falls 100/100 Pixie Tag</t>
  </si>
  <si>
    <t>TAG Dichondra Silver Surfer 100/100 Pixie Tag</t>
  </si>
  <si>
    <t>TAG Dididelta Silver Strand 100/100 Pixie Tag</t>
  </si>
  <si>
    <t>TAG Dieffenbachia Camille 100/100 Pixie Tag</t>
  </si>
  <si>
    <t>TAG Dieffenbachia GENERIC 100/100 Pixie Tag</t>
  </si>
  <si>
    <t>TAG Digiplexis Berry Canary 100/100 Pixie Tag DO FUL</t>
  </si>
  <si>
    <t>TAG Digiplexis Illumination Flame 100/100 Pixie Tag DO FUL</t>
  </si>
  <si>
    <t>TAG Digitalis Apricot Purpurea 25/25 Portrait Tag</t>
  </si>
  <si>
    <t>TAG Digitalis Arctic Fox Lemon Cream 25/25 Portrait Tag</t>
  </si>
  <si>
    <t>TAG Digitalis Arctic Fox Rose 25/25 Portrait Tag</t>
  </si>
  <si>
    <t>TAG Digitalis Camelot Cream 25/25 Portrait Tag SF</t>
  </si>
  <si>
    <t>TAG Digitalis Camelot Lavender 25/25 Portrait Tag SF</t>
  </si>
  <si>
    <t>TAG Digitalis Camelot Mix 25/25 Portrait Tag SF</t>
  </si>
  <si>
    <t>TAG Digitalis Camelot Rose 25/25 Portrait Tag SF</t>
  </si>
  <si>
    <t>TAG Digitalis Camelot White 25/25 Portrait Tag SF</t>
  </si>
  <si>
    <t>TAG Digitalis Candy Mountain 25/25 Portrait Tag</t>
  </si>
  <si>
    <t>TAG Digitalis Dalmatian Creme Purpra 25/25 Portrait Tag</t>
  </si>
  <si>
    <t>TAG Digitalis Dalmatian Mix Purpurea 100/100 Pixie Tag</t>
  </si>
  <si>
    <t>TAG Digitalis Dalmatian Mix Purpurea 25/25 Portrait Tag</t>
  </si>
  <si>
    <t>TAG Digitalis Dalmatian Peach Purpra 25/25 Portrait Tag</t>
  </si>
  <si>
    <t>TAG Digitalis Dalmatian Purple Purpurea 25/25 Portrait Tag</t>
  </si>
  <si>
    <t>TAG Digitalis Dalmatian Rose Purpurea 25/25 Portrait Tag</t>
  </si>
  <si>
    <t>TAG Digitalis Dalmatian White Purpurea 25/25 Portrait Tag</t>
  </si>
  <si>
    <t>TAG Digitalis Digiplexis Illumination Flame 25/25 Portrait Tag</t>
  </si>
  <si>
    <t>TAG Digitalis Excelsior Hybrid Purpurea 25/25 Portrait Tag</t>
  </si>
  <si>
    <t>TAG Digitalis Foxglove GENERIC Purpurea 100/100 Pixie Tag</t>
  </si>
  <si>
    <t>TAG Digitalis Foxglove GENERIC Purpurea 25/25 Portrait Tag</t>
  </si>
  <si>
    <t>TAG Digitalis Foxlight Plum Gold 25/25 Portrait Tag</t>
  </si>
  <si>
    <t>TAG Digitalis Foxlight Rose Ivory 25/25 Portrait Tag</t>
  </si>
  <si>
    <t>TAG Digitalis Foxy 100/100 Pixie Tag</t>
  </si>
  <si>
    <t>TAG Digitalis Foxy Purpurea 100/100 Pixie Tag</t>
  </si>
  <si>
    <t>TAG Digitalis Foxy Purpurea 25/25 Portrait Tag</t>
  </si>
  <si>
    <t>TAG Digitalis Pink Panther 25/25 Portrait Tag</t>
  </si>
  <si>
    <t>TAG Digitalis Strawberry Mertonensis 25/25 Portrait Tag</t>
  </si>
  <si>
    <t>TAG Digitalis Yellow Foxglove GENERIC 25/25 Portrait Tag</t>
  </si>
  <si>
    <t>TAG Dill Bouquet 100/100 Pixie Tag</t>
  </si>
  <si>
    <t>TAG Dill Bouquet 25/25 Portrait Tag</t>
  </si>
  <si>
    <t>TAG Dill Dukat 100/100 Pixie Tag</t>
  </si>
  <si>
    <t>TAG Dill Fernleaf 100/100 Pixie Tag</t>
  </si>
  <si>
    <t>TAG Dill Fernleaf 25/25 Portrait Tag</t>
  </si>
  <si>
    <t>TAG Dill GENERIC 100/100 Pixie Tag</t>
  </si>
  <si>
    <t>TAG Dill GENERIC 200/200 Thriftee Tag</t>
  </si>
  <si>
    <t>TAG Dill GENERIC 25/25 Portrait Tag</t>
  </si>
  <si>
    <t>TAG Dipladenia Flordenia Dark Red 50/50 Petite Portrait DO FUL</t>
  </si>
  <si>
    <t>TAG Dipladenia Flordenia Pink 50/50 Petite Portrait DO FUL</t>
  </si>
  <si>
    <t>TAG Dipladenia Flordenia Red Velvet 50/50 Petite Portrait DO FUL</t>
  </si>
  <si>
    <t>TAG Dipladenia Flordenia Rose 50/50 Petite Portrait DO FUL</t>
  </si>
  <si>
    <t>TAG Dipladenia Flordenia Summer Red 50/50 Petite Portrait DO FUL</t>
  </si>
  <si>
    <t>TAG Dipladenia GENERIC 100/100 Pixie Tag</t>
  </si>
  <si>
    <t>TAG Dipladenia Madinia Beauty Pink Mandevilla 50/50 Petite Portrait SF FUL</t>
  </si>
  <si>
    <t>TAG Dipladenia Madinia Coral Pink 50/50 Petite Portrait SF FUL</t>
  </si>
  <si>
    <t>TAG Dipladenia Madinia Deep Red 50/50 Petite Portrait SF FUL</t>
  </si>
  <si>
    <t>TAG Dipladenia Madinia Elegant Velvet Red Mandevilla 50/50 Petite Portrait SF FUL</t>
  </si>
  <si>
    <t>TAG Dipladenia Madinia Max Light Pink 50/50 Petite Portrait SF FUL</t>
  </si>
  <si>
    <t>TAG Dipladenia Madinia Maximo Red 50/50 Petite Portrait SF FUL</t>
  </si>
  <si>
    <t>TAG Dipladenia Madinia Pink 50/50 Petite Portrait SF FUL</t>
  </si>
  <si>
    <t>TAG Dipladenia Madinia White Mandevilla 50/50 Petite Portrait SF FUL</t>
  </si>
  <si>
    <t>TAG Dipladenia Rio Hot Pink Mandevilla 50/50 Petite Portrait SF FUL</t>
  </si>
  <si>
    <t>TAG Dipladenia Rio Mega Red Mandevilla 50/50 Petite Portrait SF FUL</t>
  </si>
  <si>
    <t>TAG Dipladenia Rio Pink Star 50/50 Petite Portrait SF FUL</t>
  </si>
  <si>
    <t>TAG Dish Gardens GENERIC 100/100 Pixie Tag</t>
  </si>
  <si>
    <t>TAG Doronicum Leonardo Compact Yellow 100/100 Pixie Tag SF</t>
  </si>
  <si>
    <t>TAG Doronicum Little Leo 25/25 Portrait Tag</t>
  </si>
  <si>
    <t>TAG DO FULrotheanthus Mezoo Trailing 50/50 Petite Portrait SF FUL</t>
  </si>
  <si>
    <t>TAG Dracaena Compacta Pineapple 100/100 Pixie Tag</t>
  </si>
  <si>
    <t>TAG Dracaena Cordyline Spikes 25/25 Portrait Tag</t>
  </si>
  <si>
    <t>TAG Dracaena Dragon Tree Marginata 100/100 Pixie Tag</t>
  </si>
  <si>
    <t>TAG Dracaena GENERIC 100/100 Pixie Tag</t>
  </si>
  <si>
    <t>TAG Dracaena Lucky Bamboo 25/25 Portrait Tag</t>
  </si>
  <si>
    <t>TAG Dracaena Massangeana 100/100 Pixie Tag</t>
  </si>
  <si>
    <t>TAG Dracaena Spikes GENERIC 100/100 Pixie Tag</t>
  </si>
  <si>
    <t>TAG Dracaena Spikes Bilingual GENERIC 100/100 Pixie Tag</t>
  </si>
  <si>
    <t>TAG Dracaena Warneckii 100/100 Pixie Tag</t>
  </si>
  <si>
    <t>TAG Duranta Aurea 100/100 Pixie Tag</t>
  </si>
  <si>
    <t>TAG Duranta Aurea Golden 50/50 Petite Portrait DO FUL</t>
  </si>
  <si>
    <t>TAG Duranta Gold Edge 100/100 Pixie Tag</t>
  </si>
  <si>
    <t>TAG Echeveria Affinis 100/100 Pixie Tag DO FUL</t>
  </si>
  <si>
    <t>TAG Echeveria Afterglow 100/100 Pixie Tag DO FUL</t>
  </si>
  <si>
    <t>TAG Echeveria Agavoides 100/100 Pixie Tag DO FUL</t>
  </si>
  <si>
    <t>TAG Echeveria Amoena 100/100 Pixie Tag DO FUL</t>
  </si>
  <si>
    <t>TAG Echeveria Apus 100/100 Pixie Tag DO FUL</t>
  </si>
  <si>
    <t>TAG Echeveria Asteroid 100/100 Pixie Tag DO FUL</t>
  </si>
  <si>
    <t>TAG Echeveria Atomic 100/100 Pixie Tag DO FUL</t>
  </si>
  <si>
    <t>TAG Echeveria Benitsukasa 100/100 Pixie Tag DO FUL</t>
  </si>
  <si>
    <t>TAG Echeveria Black Prince 100/100 Pixie Tag DO FUL</t>
  </si>
  <si>
    <t>TAG Echeveria Black Prince Hen N Chicks 100/100 Pixie Tag</t>
  </si>
  <si>
    <t>TAG Echeveria Blue Bird 100/100 Pixie Tag DO FUL</t>
  </si>
  <si>
    <t>TAG Echeveria Blue Peacockii 100/100 Pixie Tag</t>
  </si>
  <si>
    <t>TAG Echeveria Blue Prince 100/100 Pixie Tag DO FUL</t>
  </si>
  <si>
    <t>TAG Echeveria Brown Rose 100/100 Pixie Tag DO FUL</t>
  </si>
  <si>
    <t>TAG Echeveria Burgundy Pearl 100/100 Pixie Tag DO FUL</t>
  </si>
  <si>
    <t>TAG Echeveria Canadian 100/100 Pixie Tag DO FUL</t>
  </si>
  <si>
    <t>TAG Echeveria Coral Reef Series 100/100 Pixie Tag</t>
  </si>
  <si>
    <t>TAG Echeveria Crenulata 100/100 Pixie Tag DO FUL</t>
  </si>
  <si>
    <t>TAG Echeveria Dark Purple 100/100 Pixie Tag DO FUL</t>
  </si>
  <si>
    <t>TAG Echeveria Dark Red 100/100 Pixie Tag DO FUL</t>
  </si>
  <si>
    <t>TAG Echeveria Difractens 100/100 Pixie Tag DO FUL</t>
  </si>
  <si>
    <t>TAG Echeveria Domingo 100/100 Pixie Tag DO FUL</t>
  </si>
  <si>
    <t>TAG Echeveria Ebony 100/100 Pixie Tag DO FUL</t>
  </si>
  <si>
    <t>TAG Echeveria Echoc 100/100 Pixie Tag DO FUL</t>
  </si>
  <si>
    <t>TAG Echeveria Elegans 100/100 Pixie Tag DO FUL</t>
  </si>
  <si>
    <t>TAG Echeveria Elegans Blue 100/100 Pixie Tag DO FUL</t>
  </si>
  <si>
    <t>TAG Echeveria Fabiola 100/100 Pixie Tag DO FUL</t>
  </si>
  <si>
    <t>TAG Echeveria First Lady 100/100 Pixie Tag DO FUL</t>
  </si>
  <si>
    <t>TAG Echeveria Frosty 100/100 Pixie Tag DO FUL</t>
  </si>
  <si>
    <t>TAG Echeveria GENERIC 100/100 Pixie Tag</t>
  </si>
  <si>
    <t>TAG Echeveria Giant Blue 100/100 Pixie Tag DO FUL</t>
  </si>
  <si>
    <t>TAG Echeveria Gilva 100/100 Pixie Tag DO FUL</t>
  </si>
  <si>
    <t>TAG Echeveria Gliva CN2086 100/100 Pixie Tag DO FUL</t>
  </si>
  <si>
    <t>TAG Echeveria Globulosa 100/100 Pixie Tag DO FUL</t>
  </si>
  <si>
    <t>TAG Echeveria Green Delight 100/100 Pixie Tag DO FUL</t>
  </si>
  <si>
    <t>TAG Echeveria Green Pacific 100/100 Pixie Tag DO FUL</t>
  </si>
  <si>
    <t>TAG Echeveria Green Pearl 100/100 Pixie Tag DO FUL</t>
  </si>
  <si>
    <t>TAG Sempervivum Hen And Chicks 50/50 Petite Portrait SF FUL</t>
  </si>
  <si>
    <t>TAG Echeveria Hen N Chicks GENERIC 100/100 Pixie Tag</t>
  </si>
  <si>
    <t>TAG Echeveria Hercules 100/100 Pixie Tag DO FUL</t>
  </si>
  <si>
    <t>TAG Echeveria Holly Gate 100/100 Pixie Tag DO FUL</t>
  </si>
  <si>
    <t>TAG Echeveria Imbricata Green 100/100 Pixie Tag DO FUL</t>
  </si>
  <si>
    <t>TAG Echeveria Lemaire 100/100 Pixie Tag DO FUL</t>
  </si>
  <si>
    <t>TAG Echeveria Lilacina 100/100 Pixie Tag DO FUL</t>
  </si>
  <si>
    <t>TAG Echeveria Lola 100/100 Pixie Tag DO FUL</t>
  </si>
  <si>
    <t>TAG Echeveria Mamba 100/100 Pixie Tag DO FUL</t>
  </si>
  <si>
    <t>TAG Echeveria Mensa 100/100 Pixie Tag DO FUL</t>
  </si>
  <si>
    <t>TAG Echeveria Mexicana 100/100 Pixie Tag DO FUL</t>
  </si>
  <si>
    <t>TAG Echeveria Mira 100/100 Pixie Tag DO FUL</t>
  </si>
  <si>
    <t>TAG Echeveria Moranii 100/100 Pixie Tag DO FUL</t>
  </si>
  <si>
    <t>TAG Echeveria Nodulosa 100/100 Pixie Tag DO FUL</t>
  </si>
  <si>
    <t>TAG Echeveria Orion 100/100 Pixie Tag DO FUL</t>
  </si>
  <si>
    <t>TAG Echeveria Parva 100/100 Pixie Tag DO FUL</t>
  </si>
  <si>
    <t>TAG Echeveria Pearl Of Nurnberg 100/100 Pixie Tag DO FUL</t>
  </si>
  <si>
    <t>TAG Echeveria Pelusida 100/100 Pixie Tag DO FUL</t>
  </si>
  <si>
    <t>TAG Echeveria Perle Hen N Chicks 100/100 Pixie Tag</t>
  </si>
  <si>
    <t>TAG Echeveria Pink Edge 100/100 Pixie Tag DO FUL</t>
  </si>
  <si>
    <t>TAG Echeveria Pink Frills 100/100 Pixie Tag DO FUL</t>
  </si>
  <si>
    <t>TAG Echeveria Pollux 100/100 Pixie Tag DO FUL</t>
  </si>
  <si>
    <t>TAG Echeveria Purple Pearl Of Nurnberg 100/100 Pixie Tag DO FUL</t>
  </si>
  <si>
    <t>TAG Echeveria Pulvinata 100/100 Pixie Tag DO FUL</t>
  </si>
  <si>
    <t>TAG Echeveria Pumila Glauca 100/100 Pixie Tag DO FUL</t>
  </si>
  <si>
    <t>TAG Echeveria Purpureum 100/100 Pixie Tag DO FUL</t>
  </si>
  <si>
    <t>TAG Echeveria Red Cone 100/100 Pixie Tag DO FUL</t>
  </si>
  <si>
    <t>TAG Echeveria Red Shade 100/100 Pixie Tag DO FUL</t>
  </si>
  <si>
    <t>TAG Echeveria Red Tip 100/100 Pixie Tag DO FUL</t>
  </si>
  <si>
    <t>TAG Echeveria Rosea 100/100 Pixie Tag DO FUL</t>
  </si>
  <si>
    <t>TAG Echeveria Ruby Star 100/100 Pixie Tag DO FUL</t>
  </si>
  <si>
    <t>TAG Echeveria Rundelli 100/100 Pixie Tag DO FUL</t>
  </si>
  <si>
    <t>TAG Echeveria Rusbyi 100/100 Pixie Tag DO FUL</t>
  </si>
  <si>
    <t>TAG Echeveria Sagita 100/100 Pixie Tag DO FUL</t>
  </si>
  <si>
    <t>TAG Echeveria Sanyatwe 100/100 Pixie Tag DO FUL</t>
  </si>
  <si>
    <t>TAG Echeveria Scheideckeri 100/100 Pixie Tag DO FUL</t>
  </si>
  <si>
    <t>TAG Echeveria Secunda 100/100 Pixie Tag DO FUL</t>
  </si>
  <si>
    <t>TAG Echeveria Serrana 100/100 Pixie Tag DO FUL</t>
  </si>
  <si>
    <t>TAG Echeveria Setosa 100/100 Pixie Tag DO FUL</t>
  </si>
  <si>
    <t>TAG Echeveria Setosa Deminuta 100/100 Pixie Tag DO FUL</t>
  </si>
  <si>
    <t>TAG Echeveria Shaviana 100/100 Pixie Tag DO FUL</t>
  </si>
  <si>
    <t>TAG Echeveria Silver Queen 100/100 Pixie Tag DO FUL</t>
  </si>
  <si>
    <t>TAG Echeveria Skater 100/100 Pixie Tag DO FUL</t>
  </si>
  <si>
    <t>TAG Echeveria Subsessilis 100/100 Pixie Tag DO FUL</t>
  </si>
  <si>
    <t>TAG Echeveria Texensis 100/100 Pixie Tag DO FUL</t>
  </si>
  <si>
    <t>TAG Echeveria Topsy Turvy 100/100 Pixie Tag</t>
  </si>
  <si>
    <t>TAG Echeveria Topsy Turvy CN2087 100/100 Pixie Tag DO FUL</t>
  </si>
  <si>
    <t>TAG Echeveria Topsy Turvy Hybrid 100/100 Pixie Tag DO FUL</t>
  </si>
  <si>
    <t>TAG Echeveria Urban Yellow 100/100 Pixie Tag</t>
  </si>
  <si>
    <t>TAG Echeveria Victor 100/100 Pixie Tag DO FUL</t>
  </si>
  <si>
    <t>TAG Echinacea Artisan Collection Red Ombre 25/25 Portrait Tag</t>
  </si>
  <si>
    <t>TAG Echinacea Artisan Collection Soft Orange 25/25 Portrait Tag</t>
  </si>
  <si>
    <t>TAG Echinacea Artisan Collection Yl Ombre 25/25 Portrait Tag</t>
  </si>
  <si>
    <t>TAG Echinacea Baby White Swan 25/25 Portrait Tag</t>
  </si>
  <si>
    <t>TAG Echinacea Bravado Purpurea 25/25 Portrait Tag</t>
  </si>
  <si>
    <t>TAG Echinacea Cheyenne Spirit 25/25 Portrait Tag</t>
  </si>
  <si>
    <t>TAG Echinacea Coneflower GENERIC 25/25 Portrait Tag</t>
  </si>
  <si>
    <t>TAG Echinacea Double Scoop Bubble Gum 25/25 Portrait Tag</t>
  </si>
  <si>
    <t>TAG Echinacea Double Scoop Cranberry 25/25 Portrait Tag</t>
  </si>
  <si>
    <t>TAG Echinacea Double Scoop Lemon Cream 25/25 Portrait Tag</t>
  </si>
  <si>
    <t>TAG Echinacea Double Scoop Mandarin 25/25 Portrait Tag</t>
  </si>
  <si>
    <t>TAG Echinacea Double Scoop Orangeberry 25/25 Portrait Tag</t>
  </si>
  <si>
    <t>TAG Echinacea Double Scoop DLX Orangeberry Deluxe 25/25 Portrait Tag</t>
  </si>
  <si>
    <t>TAG Echinacea Double Scoop Raspberry 25/25 Portrait Tag</t>
  </si>
  <si>
    <t>TAG Echinacea Double Scoop DLX Raspberry Deluxe 25/25 Portrait Tag</t>
  </si>
  <si>
    <t>TAG Echinacea Double Scoop DLX Strawberry Deluxe 25/25 Portrait Tag</t>
  </si>
  <si>
    <t>TAG Echinacea Double Scoop DLX Watermelon Deluxe 25/25 Portrait Tag</t>
  </si>
  <si>
    <t>TAG Echinacea Green Twister Purpurea 25/25 Portrait Tag</t>
  </si>
  <si>
    <t>TAG Echinacea Guatemala Gold 25/25 Portrait Tag</t>
  </si>
  <si>
    <t>TAG Echinacea Guatemala Papaya 25/25 Portrait Tag</t>
  </si>
  <si>
    <t>TAG Echinacea Kim's Knee High 25/25 Portrait Tag</t>
  </si>
  <si>
    <t>TAG Echinacea Kismet Intense Orange 25/25 Portrait Tag</t>
  </si>
  <si>
    <t>TAG Echinacea Kismet Raspberry 25/25 Portrait Tag</t>
  </si>
  <si>
    <t>TAG Echinacea Kismet Red 25/25 Portrait Tag</t>
  </si>
  <si>
    <t>TAG Echinacea Kismet Yellow 25/25 Portrait Tag</t>
  </si>
  <si>
    <t>TAG Echinacea Lovely Lolly 25/25 Portrait Tag</t>
  </si>
  <si>
    <t>TAG Echinacea Magnus 100/100 Pixie Tag</t>
  </si>
  <si>
    <t>TAG Echinacea Magnus 25/25 Portrait Tag</t>
  </si>
  <si>
    <t>TAG Echinacea Magnus Superior Purpra 25/25 Portrait Tag</t>
  </si>
  <si>
    <t>TAG Echinacea Mellow Yellows Purpurea 25/25 Portrait Tag</t>
  </si>
  <si>
    <t>TAG Echinacea Panama Red 25/25 Portrait Tag</t>
  </si>
  <si>
    <t>TAG Echinacea Panama Rose 25/25 Portrait Tag</t>
  </si>
  <si>
    <t>TAG Echinacea PollyNation Golden Summer Mix 25/25 Portrait Tag</t>
  </si>
  <si>
    <t>TAG Echinacea PollyNation Magenta 25/25 Portrait Tag</t>
  </si>
  <si>
    <t>TAG Echinacea PollyNation Mix 25/25 Portrait Tag</t>
  </si>
  <si>
    <t>TAG Echinacea PollyNation Orange Red 25/25 Portrait Tag</t>
  </si>
  <si>
    <t>TAG Echinacea PollyNation Pink Shades 25/25 Portrait Tag</t>
  </si>
  <si>
    <t>TAG Echinacea PollyNation White 25/25 Portrait Tag</t>
  </si>
  <si>
    <t>TAG Echinacea PollyNation Yellow 25/25 Portrait Tag</t>
  </si>
  <si>
    <t>TAG Echinacea PowWow White 25/25 Portrait Tag</t>
  </si>
  <si>
    <t>TAG Echinacea PowWow Wild Berry 25/25 Portrait Tag</t>
  </si>
  <si>
    <t>TAG Echinacea Prairie Splendor Dark Rose Compact 25/25 Portrait Tag SF</t>
  </si>
  <si>
    <t>TAG Echinacea Prairie Splendor White Compact 25/25 Portrait Tag SF</t>
  </si>
  <si>
    <t>TAG Echinacea Prairie Splendor Deep Rose 25/25 Portrait Tag SF</t>
  </si>
  <si>
    <t>TAG Echinacea Prairie Splendor Rose Compact 25/25 Portrait Tag SF</t>
  </si>
  <si>
    <t>TAG Echinacea Primadonna Deep Rose Purpra 25/25 Portrait Tag</t>
  </si>
  <si>
    <t>TAG Echinacea Primadonna White Purpurea 25/25 Portrait Tag</t>
  </si>
  <si>
    <t>TAG Echinacea Purple Purpurea 25/25 Portrait Tag</t>
  </si>
  <si>
    <t>TAG Echinacea Ruby Star 25/25 Portrait Tag</t>
  </si>
  <si>
    <t>TAG Echinacea Sombrero Adobe Orange 25/25 Portrait Tag</t>
  </si>
  <si>
    <t>TAG Echinacea Sombrero Baja Burgundy 25/25 Portrait Tag</t>
  </si>
  <si>
    <t>TAG Echinacea Sombrero Blanco 25/25 Portrait Tag</t>
  </si>
  <si>
    <t>TAG Echinacea Sombrero Fuchsia Fandango 25/25 Portrait Tag</t>
  </si>
  <si>
    <t>TAG Echinacea Sombrero Fiesta Orange 25/25 Portrait Tag</t>
  </si>
  <si>
    <t>TAG Echinacea Sombrero Flamenco Orange 25/25 Portrait Tag</t>
  </si>
  <si>
    <t>TAG Echinacea Sombrero Granada Gold 25/25 Portrait Tag</t>
  </si>
  <si>
    <t>TAG Echinacea Sombrero Hot Coral 25/25 Portrait Tag</t>
  </si>
  <si>
    <t>TAG Echinacea Sombrero Lemon Yellow 25/25 Portrait Tag</t>
  </si>
  <si>
    <t>TAG Echinacea Sombrero Mandarin Mambo 25/25 Portrait Tag</t>
  </si>
  <si>
    <t>TAG Echinacea Sombrero Poco Hot Coral 25/25 Portrait Tag</t>
  </si>
  <si>
    <t>TAG Echinacea Sombrero Poco Hot Pink 25/25 Portrait Tag</t>
  </si>
  <si>
    <t>TAG Echinacea Sombrero Poco Red 25/25 Portrait Tag</t>
  </si>
  <si>
    <t>TAG Echinacea Sombrero Poco White 25/25 Portrait Tag</t>
  </si>
  <si>
    <t>TAG Echinacea Sombrero Poco Yellow 25/25 Portrait Tag</t>
  </si>
  <si>
    <t>TAG Echinacea Sombrero Rosada 25/25 Portrait Tag</t>
  </si>
  <si>
    <t>TAG Echinacea Sombrero Salsa Red 25/25 Portrait Tag</t>
  </si>
  <si>
    <t>TAG Echinacea Sombrero Sangrita 25/25 Portrait Tag</t>
  </si>
  <si>
    <t>TAG Echinacea Sombrero Summer Solstice 25/25 Portrait Tag</t>
  </si>
  <si>
    <t>TAG Echinacea Sombrero Tangerine 25/25 Portrait Tag</t>
  </si>
  <si>
    <t>TAG Echinacea Sombrero Tres Amigos 25/25 Portrait Tag</t>
  </si>
  <si>
    <t>TAG Echinacea White Swan Purpurea 100/100 Pixie Tag</t>
  </si>
  <si>
    <t>TAG Echinacea White Swan Purpurea 25/25 Portrait Tag</t>
  </si>
  <si>
    <t>TAG Echinacea Yellow Paradoxa 25/25 Portrait Tag</t>
  </si>
  <si>
    <t>TAG Echinops Globe Thistle GENERIC 25/25 Portrait Tag</t>
  </si>
  <si>
    <t>TAG Eggplant Amethyst 100/100 Pixie Tag</t>
  </si>
  <si>
    <t>TAG Eggplant Asian Delite 100/100 Pixie Tag</t>
  </si>
  <si>
    <t>TAG Eggplant Black Beauty 100/100 Pixie Tag</t>
  </si>
  <si>
    <t>TAG Eggplant Black Beauty 200/200 Thriftee Tag</t>
  </si>
  <si>
    <t>TAG Eggplant Black Magic Hybrid 100/100 Pixie Tag</t>
  </si>
  <si>
    <t>TAG Eggplant Classic 100/100 Pixie Tag</t>
  </si>
  <si>
    <t>TAG Eggplant Classic 200/200 Thriftee Tag</t>
  </si>
  <si>
    <t>TAG Eggplant Cloud Nine 100/100 Pixie Tag</t>
  </si>
  <si>
    <t>TAG Eggplant Dusky 100/100 Pixie Tag</t>
  </si>
  <si>
    <t>TAG Eggplant Fairy Tale 100/100 Pixie Tag</t>
  </si>
  <si>
    <t>TAG Eggplant Full Moon 100/100 Pixie Tag</t>
  </si>
  <si>
    <t>TAG Eggplant Ghostbuster 100/100 Pixie Tag</t>
  </si>
  <si>
    <t>TAG Eggplant GENERIC 100/100 Pixie Tag</t>
  </si>
  <si>
    <t>TAG Eggplant Gourmet Long Oriental 100/100 Pixie Tag</t>
  </si>
  <si>
    <t>TAG Eggplant Gretel 100/100 Pixie Tag</t>
  </si>
  <si>
    <t>TAG Eggplant Hansel 100/100 Pixie Tag</t>
  </si>
  <si>
    <t>TAG Eggplant Ichiban 100/100 Pixie Tag</t>
  </si>
  <si>
    <t>TAG Eggplant Icicle 100/100 Pixie Tag</t>
  </si>
  <si>
    <t>TAG Eggplant Italian Pink Bicolor 100/100 Pixie Tag</t>
  </si>
  <si>
    <t>TAG Eggplant Ivory 100/100 Pixie Tag</t>
  </si>
  <si>
    <t>TAG Eggplant Japanese Long 100/100 Pixie Tag</t>
  </si>
  <si>
    <t>TAG Eggplant Little Fingers 100/100 Pixie Tag</t>
  </si>
  <si>
    <t>TAG Eggplant Millionaire 100/100 Pixie Tag</t>
  </si>
  <si>
    <t>TAG Eggplant Neon 100/100 Pixie Tag</t>
  </si>
  <si>
    <t>TAG Eggplant Patio Baby 100/100 Pixie Tag</t>
  </si>
  <si>
    <t>TAG Eggplant Prosperosa 100/100 Pixie Tag</t>
  </si>
  <si>
    <t>TAG Eggplant Rosa Bianca 100/100 Pixie Tag</t>
  </si>
  <si>
    <t>TAG Eggplant Satin Beauty 100/100 Pixie Tag</t>
  </si>
  <si>
    <t>TAG Eggplant Satin Moon 100/100 Pixie Tag</t>
  </si>
  <si>
    <t>TAG Eggplant Shikou 100/100 Pixie Tag</t>
  </si>
  <si>
    <t>TAG Eggplant Shoya Long 100/100 Pixie Tag</t>
  </si>
  <si>
    <t>TAG Eggplant Victoria 100/100 Pixie Tag</t>
  </si>
  <si>
    <t>TAG Eggplant White 100/100 Pixie Tag</t>
  </si>
  <si>
    <t>TAG Epazote GENERIC 100/100 Pixie Tag</t>
  </si>
  <si>
    <t>TAG Epimed Rubrum 25/25 Portrait Tag</t>
  </si>
  <si>
    <t>TAG Epiphyllum Anguliger 100/100 Pixie Tag DO FUL</t>
  </si>
  <si>
    <t>TAG Epiphyllum Fishbone Types 100/100 Pixie Tag</t>
  </si>
  <si>
    <t>TAG Pothos Aureum 100/100 Pixie Tag</t>
  </si>
  <si>
    <t>TAG Pothos Marble Queen Aureum 100/100 Pixie Tag</t>
  </si>
  <si>
    <t>TAG Pothos GENERIC 100/100 Hang Tag</t>
  </si>
  <si>
    <t>TAG Pothos GENERIC 100/100 Pixie Tag</t>
  </si>
  <si>
    <t>TAG Erianthus Ravennae 25/25 Portrait Tag</t>
  </si>
  <si>
    <t>TAG Erigeron Azure Fairy 25/25 Portrait Tag</t>
  </si>
  <si>
    <t>TAG Erigeron Prusion Karavinskianus 100/100 Pixie Tag</t>
  </si>
  <si>
    <t>TAG Erodium Bishop's Form 25/25 Portrait Tag</t>
  </si>
  <si>
    <t>TAG Erodium Heron's Bill GENERIC 25/25 Portrait Tag</t>
  </si>
  <si>
    <t>TAG Arugula Simplys Salad 25/25 Portrait Tag</t>
  </si>
  <si>
    <t>TAG Eryngium Big Blue 25/25 Portrait Tag</t>
  </si>
  <si>
    <t>TAG Eryngium Blue Glitter 25/25 Portrait Tag</t>
  </si>
  <si>
    <t>TAG Eryngium Blue Hobbit 25/25 Portrait Tag</t>
  </si>
  <si>
    <t>TAG Erysimum Berry Lemonade 100/100 Pixie Tag DO FUL</t>
  </si>
  <si>
    <t>TAG Erysimum Berry Lemonade 50/50 Petite Portrait DO FUL</t>
  </si>
  <si>
    <t>TAG Erysimum Bowles Mauve 100/100 Pixie Tag</t>
  </si>
  <si>
    <t>TAG Erysimum Charity Mix 100/100 Pixie Tag</t>
  </si>
  <si>
    <t>TAG Erysimum Citric 100/100 Pixie Tag DO FUL</t>
  </si>
  <si>
    <t>TAG Erysimum Citrona Orange 25/25 Portrait Tag</t>
  </si>
  <si>
    <t>TAG Erysimum Citrona Yellow 25/25 Portrait Tag</t>
  </si>
  <si>
    <t>TAG Erysimum Erysistible Forte Magenta 25/25 Portrait Tag SF</t>
  </si>
  <si>
    <t>TAG Erysimum Erysistible Series 100/100 Pixie Tag</t>
  </si>
  <si>
    <t>TAG Erysimum Erysistible Yellow 25/25 Portrait Tag SF</t>
  </si>
  <si>
    <t>TAG Erysimum Pearl 100/100 Pixie Tag DO FUL</t>
  </si>
  <si>
    <t>TAG Erysimum Pink Lemonade 100/100 Pixie Tag DO FUL</t>
  </si>
  <si>
    <t>TAG Erysimum Sugar Rush Series 100/100 Pixie Tag</t>
  </si>
  <si>
    <t>TAG Erysimum Sunstrong Series 25/25 Portrait Tag</t>
  </si>
  <si>
    <t>TAG Erysimum Super Bowl 50/50 Petite Portrait SF FUL</t>
  </si>
  <si>
    <t>TAG Erysimum Super Bowl Mauve 25/25 Portrait Tag SF</t>
  </si>
  <si>
    <t>TAG Erysimum Super Bowl Orange 25/25 Portrait Tag</t>
  </si>
  <si>
    <t>TAG Erysimum Super Bowl Sunset 50/50 Petite Portrait SF FUL</t>
  </si>
  <si>
    <t>TAG Erysimum WallArt Lavender 100/100 Pixie Tag DO FUL</t>
  </si>
  <si>
    <t>TAG Erysimum Wallflower GENERIC 25/25 Portrait Tag</t>
  </si>
  <si>
    <t>TAG Eschscholzia California GENERIC 100/100 Pixie Tag</t>
  </si>
  <si>
    <t>TAG Eucalyptus Baby Blue Bouquet 100/100 Pixie Tag</t>
  </si>
  <si>
    <t>TAG Eucalyptus Cinerea 100/100 Pixie Tag</t>
  </si>
  <si>
    <t>TAG Eucalyptus Murray 100/100 Pixie Tag</t>
  </si>
  <si>
    <t>TAG Eucalyptus Silver Dollar 25/25 Portrait Tag</t>
  </si>
  <si>
    <t>TAG Eucalyptus Styx 100/100 Pixie Tag</t>
  </si>
  <si>
    <t>TAG Eucomis Aloha Lily Leia Pineapple 50/50 Petite Portrait DO FUL</t>
  </si>
  <si>
    <t>TAG Eucomis Aloha Lily Maui Pineapple 50/50 Petite Portrait DO FUL</t>
  </si>
  <si>
    <t>TAG Eucomis Aloha Lily Nani Pineapple 50/50 Petite Portrait DO FUL</t>
  </si>
  <si>
    <t>TAG Eucomis Aloha Lily Tiki Pineapple 50/50 Petite Portrait DO FUL</t>
  </si>
  <si>
    <t>TAG Euonymus Coloratus 100/100 Pixie Tag</t>
  </si>
  <si>
    <t>TAG Eupatorium Baby Joe 100/100 Pixie Tag DO FUL</t>
  </si>
  <si>
    <t>TAG Eupatorium Baby Joe 25/25 Portrait Tag</t>
  </si>
  <si>
    <t>TAG Eupatorium Chocolate Joe 100/100 Pixie Tag DO FUL</t>
  </si>
  <si>
    <t>TAG Eupatorium Chocolate Rugosum 25/25 Portrait Tag</t>
  </si>
  <si>
    <t>TAG Eupatorium Elegant Feather 100/100 Pixie Tag</t>
  </si>
  <si>
    <t>TAG Eupatorium Euphoria Ruby Purpureum 25/25 Portrait Tag</t>
  </si>
  <si>
    <t>TAG Eupatorium Gateway Maculatum 25/25 Portrait Tag</t>
  </si>
  <si>
    <t>TAG Eupatorium Joe Pye Weed GENERIC 25/25 Portrait Tag</t>
  </si>
  <si>
    <t>TAG Eupatorium Little Joe 100/100 Pixie Tag DO FUL</t>
  </si>
  <si>
    <t>TAG Eupatorium Little Joe 25/25 Portrait Tag</t>
  </si>
  <si>
    <t>TAG Euphorbia Ascot Rainbow 100/100 Pixie Tag DO FUL</t>
  </si>
  <si>
    <t>TAG Euphorbia Bonfire 25/25 Portrait Tag</t>
  </si>
  <si>
    <t>TAG Euphorbia Cushion Spurge 100/100 Pixie Tag</t>
  </si>
  <si>
    <t>TAG Euphorbia Cushion Spurge 25/25 Portrait Tag</t>
  </si>
  <si>
    <t>TAG Euphorbia Diwali Shower 100/100 Pixie Tag</t>
  </si>
  <si>
    <t>TAG Euphorbia Donkeytail Spurge 25/25 Portrait Tag</t>
  </si>
  <si>
    <t>TAG Euphorbia Euphoric DO FULuble White 50/50 Petite Portrait SF FUL</t>
  </si>
  <si>
    <t>TAG Euphorbia Euphoric White 50/50 Petite Portrait SF FUL</t>
  </si>
  <si>
    <t>TAG Euphorbia Firesticks Tirucalli 100/100 Pixie Tag</t>
  </si>
  <si>
    <t>TAG Euphorbia Glacier Blue 100/100 Pixie Tag DO FUL</t>
  </si>
  <si>
    <t>TAG Euphorbia Glamour 100/100 Pixie Tag</t>
  </si>
  <si>
    <t>TAG Euphorbia Glitz 100/100 Pixie Tag</t>
  </si>
  <si>
    <t>TAG Euphorbia Gloria 100/100 Pixie Tag</t>
  </si>
  <si>
    <t>TAG Euphorbia Golden Glory 25/25 Portrait Tag</t>
  </si>
  <si>
    <t>TAG Euphorbia Hypericifolia 100/100 Pixie Tag</t>
  </si>
  <si>
    <t>TAG Euphorbia Maxi Aphrodite 50/50 Petite Portrait DO FUL</t>
  </si>
  <si>
    <t>TAG Euphorbia Maxi Apollon 50/50 Petite Portrait DO FUL</t>
  </si>
  <si>
    <t>TAG Euphorbia Maxi Atlas 50/50 Petite Portrait DO FUL</t>
  </si>
  <si>
    <t>TAG Euphorbia Maxi Dinni 50/50 Petite Portrait DO FUL</t>
  </si>
  <si>
    <t>TAG Euphorbia Maxi Helena 50/50 Petite Portrait DO FUL</t>
  </si>
  <si>
    <t>TAG Euphorbia Maxi Helios 50/50 Petite Portrait DO FUL</t>
  </si>
  <si>
    <t>TAG Euphorbia Maxi Karola 50/50 Petite Portrait DO FUL</t>
  </si>
  <si>
    <t>TAG Euphorbia Maxi Kronos 50/50 Petite Portrait DO FUL</t>
  </si>
  <si>
    <t>TAG Euphorbia Maxi Pink Cadillac 50/50 Petite Portrait DO FUL</t>
  </si>
  <si>
    <t>TAG Euphorbia Maxi Red Light 50/50 Petite Portrait DO FUL</t>
  </si>
  <si>
    <t>TAG Euphorbia Maxi Vulkanus 50/50 Petite Portrait DO FUL</t>
  </si>
  <si>
    <t>TAG Euphorbia Maxi Zephyr 50/50 Petite Portrait DO FUL</t>
  </si>
  <si>
    <t>TAG Euphorbia Maxi Zeus 50/50 Petite Portrait DO FUL</t>
  </si>
  <si>
    <t>TAG Euphorbia Mini Athene 50/50 Petite Portrait DO FUL</t>
  </si>
  <si>
    <t>TAG Euphorbia Mini Eos 50/50 Petite Portrait DO FUL</t>
  </si>
  <si>
    <t>TAG Euphorbia Mini Hector 50/50 Petite Portrait DO FUL</t>
  </si>
  <si>
    <t>TAG Euphorbia Mini Hera 50/50 Petite Portrait DO FUL</t>
  </si>
  <si>
    <t>TAG Euphorbia Mini Rhea 50/50 Petite Portrait DO FUL</t>
  </si>
  <si>
    <t>TAG Euphorbia Mini Selene 50/50 Petite Portrait DO FUL</t>
  </si>
  <si>
    <t>TAG Euphorbia Pink GENERIC 100/100 Pixie Tag</t>
  </si>
  <si>
    <t>TAG Euphorbia Poinsettia GENERIC 100/100 Pixie Tag</t>
  </si>
  <si>
    <t>TAG Euphorbia Purpurea Amygdaloides 25/25 Portrait Tag</t>
  </si>
  <si>
    <t>TAG Euphorbia Red GENERIC 100/100 Pixie Tag</t>
  </si>
  <si>
    <t>TAG Euphorbia Robbie Amygdaloides 25/25 Portrait Tag</t>
  </si>
  <si>
    <t>TAG Euphorbia Ruby Glow 100/100 Pixie Tag DO FUL</t>
  </si>
  <si>
    <t>TAG Euphorbia Ruby Glow 50/50 Petite Portrait DO FUL</t>
  </si>
  <si>
    <t>TAG Euphorbia Shrubby Spurge GENERIC 25/25 Portrait Tag</t>
  </si>
  <si>
    <t>TAG Euphorbia Silver Swan 100/100 Pixie Tag DO FUL</t>
  </si>
  <si>
    <t>TAG Euphorbia Snow On The Mountain 100/100 Pixie Tag</t>
  </si>
  <si>
    <t>TAG Euphorbia Star Dust Pink Pandora 50/50 Petite Portrait DO FUL</t>
  </si>
  <si>
    <t>TAG Euphorbia Star Dust Super Flash 50/50 Petite Portrait DO FUL</t>
  </si>
  <si>
    <t>TAG Euphorbia Star Dust White Flash 50/50 Petite Portrait DO FUL</t>
  </si>
  <si>
    <t>TAG Euphorbia Star Dust White Sparkle 50/50 Petite Portrait DO FUL</t>
  </si>
  <si>
    <t>TAG Euphorbia Star Struck Double White 50/50 Petite Portrait DO FUL</t>
  </si>
  <si>
    <t>TAG Euphorbia Starblast Pink 100/100 Pixie Tag</t>
  </si>
  <si>
    <t>TAG Euphorbia Starblast Snowdrift 100/100 Pixie Tag</t>
  </si>
  <si>
    <t>TAG Euphorbia Starblast White 100/100 Pixie Tag</t>
  </si>
  <si>
    <t>TAG Euphorbia Tasmanian Tiger 100/100 Pixie Tag DO FUL</t>
  </si>
  <si>
    <t>TAG Euphorbia Tasmanian Tiger 50/50 Petite Portrait DO FUL</t>
  </si>
  <si>
    <t>TAG Euphorbia White GENERIC 100/100 Pixie Tag</t>
  </si>
  <si>
    <t>TAG Euryops Sonnenschein Pectinatus 100/100 Pixie Tag</t>
  </si>
  <si>
    <t>TAG Euryops Sunshine Silver 100/100 Pixie Tag</t>
  </si>
  <si>
    <t>TAG Euryops Yellow 100/100 Pixie Tag</t>
  </si>
  <si>
    <t>TAG Evolvu Beach Bum Blue 50/50 Petite Portrait DO FUL</t>
  </si>
  <si>
    <t>TAG Evolvulus Blue Daze 100/100 Pixie Tag</t>
  </si>
  <si>
    <t>TAG Evolvulus Hawaiian Blue Eyes 100/100 Pixie Tag</t>
  </si>
  <si>
    <t>TAG Evolvulus Hawaiian Blue Eyes 50/50 Petite Portrait DO FUL</t>
  </si>
  <si>
    <t>TAG Exacum Persian Violet GENERIC 100/100 Pixie Tag</t>
  </si>
  <si>
    <t>TAG Fairy Garden GENERIC 50/50 Mini Portrait Tag</t>
  </si>
  <si>
    <t>TAG Fatsia Spider's Web Japonica 25/25 Portrait Tag</t>
  </si>
  <si>
    <t>TAG Felicia Blue Marguerite 100/100 Pixie Tag</t>
  </si>
  <si>
    <t>TAG Felicia Felicity Blue 100/100 Pixie Tag</t>
  </si>
  <si>
    <t>TAG Felicia Felicity Leading Lady 100/100 Pixie Tag</t>
  </si>
  <si>
    <t>TAG Fennel Bronze 100/100 Pixie Tag</t>
  </si>
  <si>
    <t>TAG Fennel Florence 100/100 Pixie Tag</t>
  </si>
  <si>
    <t>TAG Fennel GENERIC 100/100 Pixie Tag</t>
  </si>
  <si>
    <t>TAG Fern Asplenium Bird's Nest 25/25 Portrait Tag</t>
  </si>
  <si>
    <t>TAG Fern Athyrium Ghost 25/25 Portrait Tag</t>
  </si>
  <si>
    <t>TAG Fern Athyrium Lady Fern 25/25 Portrait Tag</t>
  </si>
  <si>
    <t>TAG Fern Athyrium Lady In Red 25/25 Portrait Tag</t>
  </si>
  <si>
    <t>TAG Fern Athyrium Pictum 25/25 Portrait Tag</t>
  </si>
  <si>
    <t>TAG Fern Nephrolepis Boston Fern 25/25 Portrait Tag</t>
  </si>
  <si>
    <t>TAG Fern Nephrolepis Boston 100/100 Hang Tag</t>
  </si>
  <si>
    <t>TAG Fern Boston 100/100 Pixie Tag</t>
  </si>
  <si>
    <t>TAG Fern Cyrtomium Japanese Holly Fortunei 25/25 Portrait Tag</t>
  </si>
  <si>
    <t>TAG Fern Dennstaedtia Hayscented 25/25 Portrait Tag</t>
  </si>
  <si>
    <t>TAG Fern Dryopteris Dixie Wood 25/25 Portrait Tag</t>
  </si>
  <si>
    <t>TAG Fern Dryopteris Autumn Fern 25/25 Portrait Tag</t>
  </si>
  <si>
    <t>TAG Fern Dryopteris Leatherwood Marginalis 25/25 Portrait Tag</t>
  </si>
  <si>
    <t>TAG Fern Nephrolepis Emerald Queen 25/25 Portrait Tag</t>
  </si>
  <si>
    <t>TAG Fern GENERIC 100/100 Pixie Tag</t>
  </si>
  <si>
    <t>TAG Fern Hardy GENERIC 25/25 Portrait Tag</t>
  </si>
  <si>
    <t>TAG Fern Cyrtomium Japanese Holly 25/25 Portrait Tag</t>
  </si>
  <si>
    <t>TAG Fern Cyrtomium Japanese Painted Regal Red 25/25 Portrait Tag</t>
  </si>
  <si>
    <t>TAG Fern Nephrolepis Kimberly Queen 100/100 Pixie Tag</t>
  </si>
  <si>
    <t>TAG Fern Polystichum Korean Rock 25/25 Portrait Tag</t>
  </si>
  <si>
    <t>TAG Fern Adiantum Maidenhair 25/25 Portrait Tag</t>
  </si>
  <si>
    <t>TAG Fern Adiantum Maidenhair Five Finger 25/25 Portrait Tag</t>
  </si>
  <si>
    <t>TAG Fern Nephrolepis Emerald Queen 100/100 Pixie Tag</t>
  </si>
  <si>
    <t>TAG Fern Nephrolepis GENERIC 100/100 Hang Tag</t>
  </si>
  <si>
    <t>TAG Fern Nephrolepis GENERIC 100/100 Pixie Tag</t>
  </si>
  <si>
    <t>TAG Fern Osmunda Cinnamon 25/25 Portrait Tag</t>
  </si>
  <si>
    <t>TAG Fern Osmunda Royal 25/25 Portrait Tag</t>
  </si>
  <si>
    <t>TAG Fern Matteuccia Ostrich Pensylvanica 25/25 Portrait Tag</t>
  </si>
  <si>
    <t>TAG Fern Polystichum Christmas 25/25 Portrait Tag</t>
  </si>
  <si>
    <t>TAG Fern Polystichum Tassel 25/25 Portrait Tag</t>
  </si>
  <si>
    <t>TAG Fern Dryopteris Male Robust 25/25 Portrait Tag</t>
  </si>
  <si>
    <t>TAG Fern Dryopteris Southern Wood 25/25 Portrait Tag</t>
  </si>
  <si>
    <t>TAG Fern Nephrolepis Tiger 100/100 Pixie Tag</t>
  </si>
  <si>
    <t>TAG Festuca Beyond Blue Glauca 25/25 Portrait Tag</t>
  </si>
  <si>
    <t>TAG Festuca Boulder Blue Glauca 25/25 Portrait Tag</t>
  </si>
  <si>
    <t>TAG Festuca Buddy Blue Variegated 100/100 Pixie Tag</t>
  </si>
  <si>
    <t>TAG Festuca Elijah Blue Glauca 25/25 Portrait Tag</t>
  </si>
  <si>
    <t>TAG Festuca Festina 25/25 Portrait Tag</t>
  </si>
  <si>
    <t>TAG Festuca Glauca 100/100 Pixie Tag</t>
  </si>
  <si>
    <t>TAG Festuca Glauca 25/25 Portrait Tag</t>
  </si>
  <si>
    <t>TAG Festuca Select Glauca 25/25 Portrait Tag</t>
  </si>
  <si>
    <t>TAG Ficus Benjamina 100/100 Pixie Tag</t>
  </si>
  <si>
    <t>TAG Ficus Burgundy 100/100 Pixie Tag</t>
  </si>
  <si>
    <t>TAG Ficus Lyrata Fiddleleaf Fig 100/100 Pixie Tag</t>
  </si>
  <si>
    <t>TAG Ficus Pumila 100/100 Pixie Tag</t>
  </si>
  <si>
    <t>TAG Ficus Robusta 100/100 Pixie Tag</t>
  </si>
  <si>
    <t>TAG Ficus Variegated 100/100 Pixie Tag</t>
  </si>
  <si>
    <t>TAG Fittonia Argyroneura 100/100 Pixie Tag</t>
  </si>
  <si>
    <t>TAG Fittonia Nerve Plant GENERIC 100/100 Pixie Tag</t>
  </si>
  <si>
    <t>TAG Fittonia Red Vein 100/100 Pixie Tag</t>
  </si>
  <si>
    <t>TAG Flower Bulbs GENERIC 100/100 Pixie Tag</t>
  </si>
  <si>
    <t>TAG Flowering Plants GENERIC 100/100 Hang Tag</t>
  </si>
  <si>
    <t>TAG Fennel Bronze 25/25 Portrait Tag</t>
  </si>
  <si>
    <t>TAG Fennel Grosfruchtiger Green Leaf 25/25 Portrait Tag</t>
  </si>
  <si>
    <t>TAG Fragaria Strawberry Allstar 100/100 Pixie Tag</t>
  </si>
  <si>
    <t>TAG Fragaria Strawberry Alpine 100/100 Pixie Tag</t>
  </si>
  <si>
    <t>TAG Fragaria Strawberry Berries Galore Pink 100/100 Pixie Tag</t>
  </si>
  <si>
    <t>TAG Fragaria Strawberry Berries Galore Rose 100/100 Pixie Tag</t>
  </si>
  <si>
    <t>TAG Fragaria Strawberry Berries Galore White 100/100 Pixie Tag</t>
  </si>
  <si>
    <t>TAG Fragaria Strawberry Berri Basket White 100/100 Pixie Tag</t>
  </si>
  <si>
    <t>TAG Fragaria Strawberry Delizz 100/100 Pixie Tag</t>
  </si>
  <si>
    <t>TAG Fragaria Strawberry Everbearing GENERIC 100/100 Pixie Tag</t>
  </si>
  <si>
    <t>TAG Fragaria Strawberry Everbearing GENERIC 25/25 Portrait Tag</t>
  </si>
  <si>
    <t>TAG Fragaria Strawberry Eversweet 100/100 Pixie Tag</t>
  </si>
  <si>
    <t>TAG Fragaria Strawberry Fort Laramie 100/100 Pixie Tag</t>
  </si>
  <si>
    <t>TAG Fragaria Strawberry Gasana 100/100 Pixie Tag</t>
  </si>
  <si>
    <t>TAG Fragaria Strawberry Honeoye 100/100 Pixie Tag</t>
  </si>
  <si>
    <t>TAG Fragaria Strawberry Junebearing GENERIC 100/100 Pixie Tag</t>
  </si>
  <si>
    <t>TAG Fragaria Strawberry Mignonette 100/100 Pixie Tag</t>
  </si>
  <si>
    <t>TAG Fragaria Strawberry Ozark Beauty 100/100 Pixie Tag</t>
  </si>
  <si>
    <t>TAG Fragaria Strawberry Quinalt 100/100 Pixie Tag</t>
  </si>
  <si>
    <t>TAG Fragaria Strawberry Ruby Ann 100/100 Pixie Tag</t>
  </si>
  <si>
    <t>TAG Fragaria Strawberry Sequoia 100/100 Pixie Tag</t>
  </si>
  <si>
    <t>TAG Fragaria Strawberry Summer Breeze Rose 100/100 Pixie Tag</t>
  </si>
  <si>
    <t>TAG Fragaria Strawberry Surecrop 100/100 Pixie Tag</t>
  </si>
  <si>
    <t>TAG Fragaria Strawberry Temptation 100/100 Pixie Tag</t>
  </si>
  <si>
    <t>TAG Fragaria Strawberry Toscana 100/100 Pixie Tag</t>
  </si>
  <si>
    <t>TAG Fuchsia Aretes Alwin 50/50 Petite Portrait DO FUL</t>
  </si>
  <si>
    <t>TAG Fuchsia Aretes Arroyo Grande 50/50 Petite Portrait DO FUL</t>
  </si>
  <si>
    <t>TAG Fuchsia Aretes Belfort 50/50 Petite Portrait DO FUL</t>
  </si>
  <si>
    <t>TAG Fuchsia Aretes Jollies Nancy 50/50 Petite Portrait DO FUL</t>
  </si>
  <si>
    <t>TAG Fuchsia Aretes Jollies Nantes 50/50 Petite Portrait DO FUL</t>
  </si>
  <si>
    <t>TAG Fuchsia Aretes Patio Princess 50/50 Petite Portrait DO FUL</t>
  </si>
  <si>
    <t>TAG Fuchsia Aretes President G Bartlett 50/50 Petite Portrait DO FUL</t>
  </si>
  <si>
    <t>TAG Fuchsia Aretes Ringwood Market 50/50 Petite Portrait DO FUL</t>
  </si>
  <si>
    <t>TAG Fuchsia Aretes Arroyo Grand Upright 50/50 Petite Portrait DO FUL</t>
  </si>
  <si>
    <t>TAG Fuchsia Aretes Bari Upright 50/50 Petite Portrait DO FUL</t>
  </si>
  <si>
    <t>TAG Fuchsia Aretes Jollies Reims Upright 50/50 Petite Portrait DO FUL</t>
  </si>
  <si>
    <t>TAG Fuchsia Aretes Lago Grande Upright 50/50 Petite Portrait DO FUL</t>
  </si>
  <si>
    <t>TAG Fuchsia Aretes Pompei Upright 50/50 Petite Portrait DO FUL</t>
  </si>
  <si>
    <t>TAG Fuchsia Aretes Rio Grande Upright 50/50 Petite Portrait DO FUL</t>
  </si>
  <si>
    <t>TAG Fuchsia Autumnale 100/100 Pixie Tag</t>
  </si>
  <si>
    <t>TAG Fuchsia Autumnale 50/50 Petite Portrait DO FUL</t>
  </si>
  <si>
    <t>TAG Fuchsia Ballerina Arabesque 50/50 Petite Portrait DO FUL</t>
  </si>
  <si>
    <t>TAG Fuchsia Ballerina Assemble 50/50 Petite Portrait DO FUL</t>
  </si>
  <si>
    <t>TAG Fuchsia Ballerina Balance 50/50 Petite Portrait DO FUL</t>
  </si>
  <si>
    <t>TAG Fuchsia Ballerina Brise 50/50 Petite Portrait DO FUL</t>
  </si>
  <si>
    <t>TAG Fuchsia Ballerina Coupe 50/50 Petite Portrait DO FUL</t>
  </si>
  <si>
    <t>TAG Fuchsia Ballerina Jete 50/50 Petite Portrait DO FUL</t>
  </si>
  <si>
    <t>TAG Fuchsia Ballerina Pique 50/50 Petite Portrait DO FUL</t>
  </si>
  <si>
    <t>TAG Fuchsia Ballerina Royale 50/50 Petite Portrait DO FUL</t>
  </si>
  <si>
    <t>TAG Fuchsia Ballerina Upright Piroet 50/50 Petite Portrait DO FUL</t>
  </si>
  <si>
    <t>TAG Fuchsia Ballerina Upright Releve 50/50 Petite Portrait DO FUL</t>
  </si>
  <si>
    <t>TAG Fuchsia Ballerina Upright Tendu 50/50 Petite Portrait DO FUL</t>
  </si>
  <si>
    <t>TAG Fuchsia Beacon 100/100 Pixie Tag</t>
  </si>
  <si>
    <t>TAG Fuchsia Bella Fuchsia Series 100/100 Pixie Tag</t>
  </si>
  <si>
    <t>TAG Fuchsia Bella Rosella 100/100 Pixie Tag</t>
  </si>
  <si>
    <t>TAG Fuchsia Bicentennial 100/100 Pixie Tag</t>
  </si>
  <si>
    <t>TAG Fuchsia Blacky 100/100 Pixie Tag</t>
  </si>
  <si>
    <t>TAG Fuchsia Blue Eyes 100/100 Pixie Tag</t>
  </si>
  <si>
    <t>TAG Fuchsia Blue Eyes 50/50 Petite Portrait DO FUL</t>
  </si>
  <si>
    <t>TAG Fuchsia City Lights 50/50 Petite Portrait DO FUL</t>
  </si>
  <si>
    <t>TAG Fuchsia Corabells Dark Eyes 100/100 Pixie Tag</t>
  </si>
  <si>
    <t>TAG Fuchsia Corabells Red And White 100/100 Pixie Tag</t>
  </si>
  <si>
    <t>TAG Fuchsia Corabells Rose And Purple 100/100 Pixie Tag</t>
  </si>
  <si>
    <t>TAG Fuchsia Dark Eyes 100/100 Pixie Tag</t>
  </si>
  <si>
    <t>TAG Fuchsia Dark Eyes 50/50 Petite Portrait DO FUL</t>
  </si>
  <si>
    <t>TAG Fuchsia Deep Purple 100/100 Pixie Tag</t>
  </si>
  <si>
    <t>TAG Fuchsia Delta Sarah 100/100 Pixie Tag</t>
  </si>
  <si>
    <t>TAG Fuchsia Dollar Princess 100/100 Pixie Tag</t>
  </si>
  <si>
    <t>TAG Fuchsia Dollar Princess 50/50 Petite Portrait DO FUL</t>
  </si>
  <si>
    <t>TAG Fuchsia Dusky Rose Trailing 50/50 Petite Portrait DO FUL</t>
  </si>
  <si>
    <t>TAG Fuchsia Electric Lights 50/50 Petite Portrait DO FUL</t>
  </si>
  <si>
    <t>TAG Fuchsia Eruptions 100/100 Pixie Tag</t>
  </si>
  <si>
    <t>TAG Fuchsia Firecracker 100/100 Pixie Tag</t>
  </si>
  <si>
    <t>TAG Fuchsia Frosted Flame 100/100 Pixie Tag</t>
  </si>
  <si>
    <t>TAG Fuchsia Gartenmeister 100/100 Pixie Tag</t>
  </si>
  <si>
    <t>TAG Fuchsia GENERIC 100/100 Hang Tag</t>
  </si>
  <si>
    <t>TAG Fuchsia GENERIC 100/100 Pixie Tag</t>
  </si>
  <si>
    <t>TAG Fuchsia Happy Lights 50/50 Petite Portrait DO FUL</t>
  </si>
  <si>
    <t>TAG Fuchsia Heri Mochara 100/100 Pixie Tag</t>
  </si>
  <si>
    <t>TAG Fuchsia Jingle Bells 100/100 Pixie Tag</t>
  </si>
  <si>
    <t>TAG Fuchsia Koralle 100/100 Pixie Tag</t>
  </si>
  <si>
    <t>TAG Fuchsia La Campanella 100/100 Pixie Tag</t>
  </si>
  <si>
    <t>TAG Fuchsia La Campanella 50/50 Petite Portrait DO FUL</t>
  </si>
  <si>
    <t>TAG Fuchsia Lena 100/100 Pixie Tag</t>
  </si>
  <si>
    <t>TAG Fuchsia Marinka 100/100 Pixie Tag</t>
  </si>
  <si>
    <t>TAG Fuchsia Millenium 100/100 Pixie Tag</t>
  </si>
  <si>
    <t>TAG Fuchsia Miss California 100/100 Pixie Tag</t>
  </si>
  <si>
    <t>TAG Fuchsia Northern Lights Upright 50/50 Petite Portrait DO FUL</t>
  </si>
  <si>
    <t>TAG Fuchsia Orange King 100/100 Pixie Tag</t>
  </si>
  <si>
    <t>TAG Fuchsia Patio Princess 100/100 Pixie Tag</t>
  </si>
  <si>
    <t>TAG Fuchsia Paula Jane 100/100 Pixie Tag</t>
  </si>
  <si>
    <t>TAG Fuchsia Paula Jane 50/50 Petite Portrait DO FUL</t>
  </si>
  <si>
    <t>TAG Fuchsia Peachy 100/100 Pixie Tag</t>
  </si>
  <si>
    <t>TAG Fuchsia Pink Ballet Girl 100/100 Pixie Tag</t>
  </si>
  <si>
    <t>TAG Fuchsia Pink Galore 100/100 Pixie Tag</t>
  </si>
  <si>
    <t>TAG Fuchsia Pink Marshmallow 100/100 Pixie Tag</t>
  </si>
  <si>
    <t>TAG Fuchsia Red Spider 100/100 Pixie Tag</t>
  </si>
  <si>
    <t>TAG Fuchsia Ringwood Market 100/100 Pixie Tag</t>
  </si>
  <si>
    <t>TAG Fuchsia Sir Matt Busby 100/100 Pixie Tag</t>
  </si>
  <si>
    <t>TAG Fuchsia Skyrocket 50/50 Petite Portrait DO FUL</t>
  </si>
  <si>
    <t>TAG Fuchsia Southgate 100/100 Pixie Tag</t>
  </si>
  <si>
    <t>TAG Fuchsia Southgate 50/50 Petite Portrait DO FUL</t>
  </si>
  <si>
    <t>TAG Fuchsia Stand Up Series 100/100 Pixie Tag</t>
  </si>
  <si>
    <t>TAG Fuchsia Sunbeam Ernie 100/100 Pixie Tag</t>
  </si>
  <si>
    <t>TAG Fuchsia Sunbeam GENERIC 100/100 Pixie Tag</t>
  </si>
  <si>
    <t>TAG Fuchsia Sunbeam Lambada 100/100 Pixie Tag</t>
  </si>
  <si>
    <t>TAG Fuchsia Sunbeam Paloma 100/100 Pixie Tag</t>
  </si>
  <si>
    <t>TAG Fuchsia Sunbeam Rocky 100/100 Pixie Tag</t>
  </si>
  <si>
    <t>TAG Fuchsia Sunbeam Samba 100/100 Pixie Tag</t>
  </si>
  <si>
    <t>TAG Fuchsia Swingtime 100/100 Pixie Tag</t>
  </si>
  <si>
    <t>TAG Fuchsia Swingtime 50/50 Petite Portrait DO FUL</t>
  </si>
  <si>
    <t>TAG Fuchsia Blue Eyes Trailing 50/50 Petite Portrait DO FUL</t>
  </si>
  <si>
    <t>TAG Fuchsia Trailing GENERIC 100/100 Pixie Tag</t>
  </si>
  <si>
    <t>TAG Fuchsia Lena Trailing 50/50 Petite Portrait DO FUL</t>
  </si>
  <si>
    <t>TAG Fuchsia Marinka Trailing 50/50 Petite Portrait DO FUL</t>
  </si>
  <si>
    <t>TAG Fuchsia Pink Marshmallow Trailing 50/50 Petite Portrait DO FUL</t>
  </si>
  <si>
    <t>TAG Fuchsia White Eyes Trailing 50/50 Petite Portrait DO FUL</t>
  </si>
  <si>
    <t>TAG Fuchsia Firecracker Upright 50/50 Petite Portrait DO FUL</t>
  </si>
  <si>
    <t>TAG Fuchsia Gartenmeister Upright 50/50 Petite Portrait DO FUL</t>
  </si>
  <si>
    <t>TAG Fuchsia Upright GENERIC 100/100 Pixie Tag</t>
  </si>
  <si>
    <t>TAG Fuchsia Voodoo Upright 50/50 Petite Portrait DO FUL</t>
  </si>
  <si>
    <t>TAG Fuchsia Voodoo 100/100 Pixie Tag</t>
  </si>
  <si>
    <t>TAG Fuchsia White Eyes 100/100 Pixie Tag</t>
  </si>
  <si>
    <t>TAG Fuchsia Winston Churchill 100/100 Pixie Tag</t>
  </si>
  <si>
    <t>TAG Fuchsia Windchimes Series Trailing 100/100 Pixie Tag</t>
  </si>
  <si>
    <t>TAG Fuchsia Windchimes Upright 100/100 Pixie Tag</t>
  </si>
  <si>
    <t>TAG Gaillardia Arizona Apricot 25/25 Portrait Tag</t>
  </si>
  <si>
    <t>TAG Gaillardia Arizona Red Shades 25/25 Portrait Tag</t>
  </si>
  <si>
    <t>TAG Gaillardia Arizona Sun 25/25 Portrait Tag</t>
  </si>
  <si>
    <t>TAG Gaillardia Barbican Red 25/25 Portrait Tag SF</t>
  </si>
  <si>
    <t>TAG Gaillardia Barbican Yellow Red Ring 25/25 Portrait Tag SF</t>
  </si>
  <si>
    <t>TAG Gaillardia Burgundy 100/100 Pixie Tag</t>
  </si>
  <si>
    <t>TAG Gaillardia Celebration 100/100 Pixie Tag DO FUL</t>
  </si>
  <si>
    <t>TAG Gaillardia Celebration 50/50 Petite Portrait DO FUL</t>
  </si>
  <si>
    <t>TAG Gaillardia Fanfare Blaze 100/100 Pixie Tag DO FUL</t>
  </si>
  <si>
    <t>TAG Gaillardia Fanfare Showtime 100/100 Pixie Tag DO FUL</t>
  </si>
  <si>
    <t>TAG Gaillardia Fire Wheels 25/25 Portrait Tag</t>
  </si>
  <si>
    <t>TAG Gaillardia Galya Series 25/25 Portrait Tag</t>
  </si>
  <si>
    <t>TAG Gaillardia GENERIC 100/100 Pixie Tag</t>
  </si>
  <si>
    <t>TAG Gaillardia GENERIC 25/25 Portrait Tag</t>
  </si>
  <si>
    <t>TAG Gaillardia Goblin 100/100 Pixie Tag</t>
  </si>
  <si>
    <t>TAG Gaillardia Goblin 25/25 Portrait Tag</t>
  </si>
  <si>
    <t>TAG Gaillardia Gusto Lemon 25/25 Portrait Tag</t>
  </si>
  <si>
    <t>TAG Gaillardia Gusto Paprika 25/25 Portrait Tag</t>
  </si>
  <si>
    <t>TAG Gaillardia Gusto Saffron 25/25 Portrait Tag</t>
  </si>
  <si>
    <t>TAG Gaillardia Gusto Sweet Chili 25/25 Portrait Tag</t>
  </si>
  <si>
    <t>TAG Gaillardia Lunar Blood Moon 25/25 Portrait Tag</t>
  </si>
  <si>
    <t>TAG Gaillardia Lunar Eclipse 25/25 Portrait Tag</t>
  </si>
  <si>
    <t>TAG Gaillardia Lunar Harvest Moon 25/25 Portrait Tag</t>
  </si>
  <si>
    <t>TAG Gaillardia Lunar Honey Moon 25/25 Portrait Tag</t>
  </si>
  <si>
    <t>TAG Gaillardia Lunar Orange Moon 25/25 Portrait Tag</t>
  </si>
  <si>
    <t>TAG Gaillardia Lunar Red Moon 25/25 Portrait Tag</t>
  </si>
  <si>
    <t>TAG Gaillardia Mesa Bright Bicolour 25/25 Portrait Tag</t>
  </si>
  <si>
    <t>TAG Gaillardia Mesa Peach 25/25 Portrait Tag</t>
  </si>
  <si>
    <t>TAG Gaillardia Mesa Red 25/25 Portrait Tag</t>
  </si>
  <si>
    <t>TAG Gaillardia Mesa Yellow 25/25 Portrait Tag</t>
  </si>
  <si>
    <t>TAG Gaillardia SpinTop Copper Sun 100/100 Pixie Tag DO FUL</t>
  </si>
  <si>
    <t>TAG Gaillardia SpinTop Copper Sun 50/50 Petite Portrait DO FUL</t>
  </si>
  <si>
    <t>TAG Gaillardia SpinTop Mango 100/100 Pixie Tag DO FUL</t>
  </si>
  <si>
    <t>TAG Gaillardia SpinTop Mango 25/25 Portrait Tag</t>
  </si>
  <si>
    <t>TAG Gaillardia SpinTop Mariachi Copper Sun 100/100 Pixie Tag DO FUL</t>
  </si>
  <si>
    <t>TAG Gaillardia SpinTop Copper Sun 25/25 Portrait TAG DO</t>
  </si>
  <si>
    <t>TAG Gaillardia SpinTop Mariachi Red Sky 100/100 Pixie Tag DO FUL</t>
  </si>
  <si>
    <t>TAG Gaillardia SpinTop Mariachi Red Sky 25/25 Portrait Tag</t>
  </si>
  <si>
    <t>TAG Gaillardia SpinTop Orange Halo 100/100 Pixie Tag DO FUL</t>
  </si>
  <si>
    <t>TAG Gaillardia SpinTop Orange Halo 25/25 Portrait TAG DO</t>
  </si>
  <si>
    <t>TAG Gaillardia SpinTop Pineapple 100/100 Pixie Tag DO FUL</t>
  </si>
  <si>
    <t>TAG Gaillardia SpinTop Pineapple 25/25 Portrait Tag</t>
  </si>
  <si>
    <t>TAG Gaillardia SpinTop Red 25/25 Portrait TAG DO</t>
  </si>
  <si>
    <t>TAG Gaillardia SpinTop Red Starburst 25/25 Portrait TAG DO</t>
  </si>
  <si>
    <t>TAG Gaillardia SpinTop Red 100/100 Pixie Tag DO FUL</t>
  </si>
  <si>
    <t>TAG Gaillardia SpinTop Red Starburst 100/100 Pixie Tag DO FUL</t>
  </si>
  <si>
    <t>TAG Gaillardia SpinTop Red Starburst 50/50 Petite Portrait DO FUL</t>
  </si>
  <si>
    <t>TAG Gaillardia SpinTop Yellow Touch 25/25 Portrait TAG DO</t>
  </si>
  <si>
    <t>TAG Gaillardia SpinTop Yellow Touch 100/100 Pixie Tag DO FUL</t>
  </si>
  <si>
    <t>TAG Gaillardia SpinTop Yellow Touch 50/50 Petite Portrait DO FUL</t>
  </si>
  <si>
    <t>TAG Gaillardia Sun Devil 25/25 Portrait Tag</t>
  </si>
  <si>
    <t>TAG Gaillardia Sun Red 25/25 Portrait Tag</t>
  </si>
  <si>
    <t>TAG Gaillardia Sunrita Burgundy Blanket 50/50 Petite Portrait SF FUL</t>
  </si>
  <si>
    <t>TAG Gaillardia Sunrita Golden Yellow 50/50 Petite Portrait SF FUL</t>
  </si>
  <si>
    <t>TAG Gaillardia Sunrita Red Yellow Tip 50/50 Petite Portrait SF FUL</t>
  </si>
  <si>
    <t>TAG Gaillardia Sunrita Yellow Red Ring 50/50 Petite Portrait SF FUL</t>
  </si>
  <si>
    <t>TAG Gaillardia Sunset Cutie 100/100 Pixie Tag DO FUL</t>
  </si>
  <si>
    <t>TAG Gaillardia Sunset Flash 100/100 Pixie Tag DO FUL</t>
  </si>
  <si>
    <t>TAG Gaillardia Sunset Orange 100/100 Pixie Tag DO FUL</t>
  </si>
  <si>
    <t>TAG Gaillardia Sunset Orange Limited Availability 50/50 Petite Portrait DO FUL</t>
  </si>
  <si>
    <t>TAG Gaillardia Sunset Snappy 100/100 Pixie Tag DO FUL</t>
  </si>
  <si>
    <t>TAG Gaillardia Sunset Sunrise 100/100 Pixie Tag DO FUL</t>
  </si>
  <si>
    <t>TAG Gaillardia Yellow Red Ring 50/50 Petite Portrait SF FUL</t>
  </si>
  <si>
    <t>TAG Galium Odoratum 100/100 Pixie Tag</t>
  </si>
  <si>
    <t>TAG Galium Odoratum 25/25 Portrait Tag</t>
  </si>
  <si>
    <t>TAG Galium Sweet Woodruff 100/100 Pixie Tag</t>
  </si>
  <si>
    <t>TAG Galium Sweet Woodruff CN5180 100/100 Pixie Tag DO FUL</t>
  </si>
  <si>
    <t>TAG Garlic Society Tulbaghia 100/100 Pixie Tag</t>
  </si>
  <si>
    <t>TAG Gasteria D Tiga 100/100 Pixie Tag DO FUL</t>
  </si>
  <si>
    <t>TAG Gasteria Durban 100/100 Pixie Tag DO FUL</t>
  </si>
  <si>
    <t>TAG Gasteria Ernesti Ruschii 100/100 Pixie Tag DO FUL</t>
  </si>
  <si>
    <t>TAG Gasteria Ewoud 100/100 Pixie Tag DO FUL</t>
  </si>
  <si>
    <t>TAG Gasteria Flow 100/100 Pixie Tag DO FUL</t>
  </si>
  <si>
    <t>TAG Gasteria Fuscopunctata 100/100 Pixie Tag DO FUL</t>
  </si>
  <si>
    <t>TAG Gasteria GENERIC 100/100 Pixie Tag</t>
  </si>
  <si>
    <t>TAG Gasteria Gracilis 100/100 Pixie Tag DO FUL</t>
  </si>
  <si>
    <t>TAG Gasteria Green Star 100/100 Pixie Tag DO FUL</t>
  </si>
  <si>
    <t>TAG Gasteria Kyaka 100/100 Pixie Tag DO FUL</t>
  </si>
  <si>
    <t>TAG Gasteria Liliputana 100/100 Pixie Tag DO FUL</t>
  </si>
  <si>
    <t>TAG Gasteria Limpopo 100/100 Pixie Tag DO FUL</t>
  </si>
  <si>
    <t>TAG Gasteria Little Warty 100/100 Pixie Tag DO FUL</t>
  </si>
  <si>
    <t>TAG Gasteria Morombe 100/100 Pixie Tag DO FUL</t>
  </si>
  <si>
    <t>TAG Gasteria Okavango 100/100 Pixie Tag DO FUL</t>
  </si>
  <si>
    <t>TAG Gasteria Royal Wolfgang 100/100 Pixie Tag DO FUL</t>
  </si>
  <si>
    <t>TAG Gasteria Verrucosa 100/100 Pixie Tag DO FUL</t>
  </si>
  <si>
    <t>TAG Gasteria Zimflora 100/100 Pixie Tag DO FUL</t>
  </si>
  <si>
    <t>TAG Gaultheria Merry Berry Big Red 25/25 Portrait Tag</t>
  </si>
  <si>
    <t>TAG Gaura Baby Butterfly Dark Pink 25/25 Portrait Tag</t>
  </si>
  <si>
    <t>TAG Gaura Ballerina Rose 25/25 Portrait Tag</t>
  </si>
  <si>
    <t>TAG Gaura Bantam Iris Pink 25/25 Portrait Tag</t>
  </si>
  <si>
    <t>TAG Gaura Bantam Pink 25/25 Portrait Tag</t>
  </si>
  <si>
    <t>TAG Gaura Bantam White 25/25 Portrait Tag</t>
  </si>
  <si>
    <t>TAG Gaura Belleza Compact Light Pink 25/25 Portrait Tag</t>
  </si>
  <si>
    <t>TAG Gaura Belleza Dark Pink 100/100 Pixie Tag DO FUL</t>
  </si>
  <si>
    <t>TAG Gaura Belleza Dark Pink 25/25 Portrait Tag</t>
  </si>
  <si>
    <t>TAG Gaura Belleza White 100/100 Pixie Tag DO FUL</t>
  </si>
  <si>
    <t>TAG Gaura Belleza White 25/25 Portrait Tag</t>
  </si>
  <si>
    <t>TAG Gaura Bloom Baby 25/25 Portrait Tag</t>
  </si>
  <si>
    <t>TAG Gaura Cherry Brandy 25/25 Portrait Tag</t>
  </si>
  <si>
    <t>TAG Gaura Freefolk Rosy 25/25 Portrait Tag</t>
  </si>
  <si>
    <t>TAG Gaura Gambit Rose 100/100 Pixie Tag</t>
  </si>
  <si>
    <t>TAG Gaura Gaudi Red 25/25 Portrait Tag</t>
  </si>
  <si>
    <t>TAG Gaura Gauriella Bicolor 25/25 Portrait Tag</t>
  </si>
  <si>
    <t>TAG Gaura Grace Pink Compact 25/25 Portrait Tag</t>
  </si>
  <si>
    <t>TAG Gaura Graceful Blush 100/100 Pixie Tag DO FUL</t>
  </si>
  <si>
    <t>TAG Gaura Graceful Light Pink 100/100 Pixie Tag DO FUL</t>
  </si>
  <si>
    <t>TAG Gaura Graceful Magic 100/100 Pixie Tag DO FUL</t>
  </si>
  <si>
    <t>TAG Gaura Graceful Pink 100/100 Pixie Tag DO FUL</t>
  </si>
  <si>
    <t>TAG Gaura Graceful Pink 50/50 Petite Portrait DO FUL</t>
  </si>
  <si>
    <t>TAG Gaura Graceful White 100/100 Pixie Tag DO FUL</t>
  </si>
  <si>
    <t>TAG Gaura Lindheimeri GENERIC 100/100 Pixie Tag</t>
  </si>
  <si>
    <t>TAG Gaura Little Janie 25/25 Portrait Tag</t>
  </si>
  <si>
    <t>TAG Gaura Monarch Pink 100/100 Pixie Tag DO FUL</t>
  </si>
  <si>
    <t>TAG Gaura Monarch White 100/100 Pixie Tag DO FUL</t>
  </si>
  <si>
    <t>TAG Gaura Passionate Blush 25/25 Portrait Tag</t>
  </si>
  <si>
    <t>TAG Gaura Passionate Rainbow 100/100 Pixie Tag DO FUL</t>
  </si>
  <si>
    <t>TAG Gaura Passionate Rainbow 25/25 Portrait Tag</t>
  </si>
  <si>
    <t>TAG Gaura Pink 25/25 Portrait Tag</t>
  </si>
  <si>
    <t>TAG Gaura Rosy Jane 100/100 Pixie Tag DO FUL</t>
  </si>
  <si>
    <t>TAG Gaura Rosy Jane 25/25 Portrait Tag</t>
  </si>
  <si>
    <t>TAG Gaura Siskiyou Pink 100/100 Pixie Tag DO FUL</t>
  </si>
  <si>
    <t>TAG Gaura Siskiyou Pink 25/25 Portrait Tag</t>
  </si>
  <si>
    <t>TAG Gaura Sparkle White 25/25 Portrait Tag</t>
  </si>
  <si>
    <t>TAG Gaura Steffi Blush Pink 25/25 Portrait Tag</t>
  </si>
  <si>
    <t>TAG Gaura Steffi Dark Rose 25/25 Portrait Tag</t>
  </si>
  <si>
    <t>TAG Gaura Steffi White 25/25 Portrait Tag</t>
  </si>
  <si>
    <t>TAG Gaura Whirling Butterflies 100/100 Pixie Tag DO FUL</t>
  </si>
  <si>
    <t>TAG Gaura Whirling Butterflies 25/25 Portrait Tag</t>
  </si>
  <si>
    <t>TAG Gaura Whiskers Deep Rose 25/25 Portrait Tag</t>
  </si>
  <si>
    <t>TAG Gaura White Dove 25/25 Portrait Tag</t>
  </si>
  <si>
    <t>TAG Gazania Big Kiss Orange 100/100 Pixie Tag SF</t>
  </si>
  <si>
    <t>TAG Gazania Big Kiss Orange Flame 100/100 Pixie Tag SF</t>
  </si>
  <si>
    <t>TAG Gazania Big Kiss Red 100/100 Pixie Tag SF</t>
  </si>
  <si>
    <t>TAG Gazania Big Kiss Series 100/100 Pixie Tag SF</t>
  </si>
  <si>
    <t>TAG Gazania Big Kiss White 100/100 Pixie Tag SF</t>
  </si>
  <si>
    <t>TAG Gazania Big Kiss White Flame 100/100 Pixie Tag SF</t>
  </si>
  <si>
    <t>TAG Gazania Big Kiss Yellow 100/100 Pixie Tag SF</t>
  </si>
  <si>
    <t>TAG Gazania Big Kiss Yellow Flame 100/100 Pixie Tag SF</t>
  </si>
  <si>
    <t>TAG Gazania Day Bright Mix 100/100 Pixie Tag</t>
  </si>
  <si>
    <t>TAG Gazania Day Bronze Shades 100/100 Pixie Tag</t>
  </si>
  <si>
    <t>TAG Gazania Day Clear Orange 100/100 Pixie Tag</t>
  </si>
  <si>
    <t>TAG Gazania Day Mix 100/100 Pixie Tag</t>
  </si>
  <si>
    <t>TAG Gazania Day Pink Shades 100/100 Pixie Tag</t>
  </si>
  <si>
    <t>TAG Gazania Day Red Shades 100/100 Pixie Tag</t>
  </si>
  <si>
    <t>TAG Gazania Day Red Stripe 100/100 Pixie Tag</t>
  </si>
  <si>
    <t>TAG Gazania Day Rose Stripe 100/100 Pixie Tag</t>
  </si>
  <si>
    <t>TAG Gazania Day Strawberry Shortcake Mix 100/100 Pixie Tag</t>
  </si>
  <si>
    <t>TAG Gazania Day Sunny Side Up Mix 100/100 Pixie Tag</t>
  </si>
  <si>
    <t>TAG Gazania Day Tiger Mix 100/100 Pixie Tag</t>
  </si>
  <si>
    <t>TAG Gazania Day White 100/100 Pixie Tag</t>
  </si>
  <si>
    <t>TAG Gazania Day Yellow 100/100 Pixie Tag</t>
  </si>
  <si>
    <t>TAG Gazania Daybreak Bright Orange 100/100 Pixie Tag</t>
  </si>
  <si>
    <t>TAG Gazania Daybreak Bright Yellow 100/100 Pixie Tag</t>
  </si>
  <si>
    <t>TAG Gazania Daybreak Mix 100/100 Pixie Tag</t>
  </si>
  <si>
    <t>TAG Gazania Daybreak Pink Shades 100/100 Pixie Tag</t>
  </si>
  <si>
    <t>TAG Gazania Enorma Mix 100/100 Pixie Tag</t>
  </si>
  <si>
    <t>TAG Gazania Gazoo Formula Mix 100/100 Pixie Tag</t>
  </si>
  <si>
    <t>TAG Gazania GENERIC 100/100 Hang Tag</t>
  </si>
  <si>
    <t>TAG Gazania GENERIC 100/100 Pixie Tag</t>
  </si>
  <si>
    <t>TAG Gazania Gold 25/25 Portrait Tag</t>
  </si>
  <si>
    <t>TAG Gazania Kiss Flame Mix 100/100 Pixie Tag SF</t>
  </si>
  <si>
    <t>TAG Gazania Kiss Frosty Flame Mix 100/100 Pixie Tag SF</t>
  </si>
  <si>
    <t>TAG Gazania Kiss Frosty Mix 100/100 Pixie Tag SF</t>
  </si>
  <si>
    <t>TAG Gazania Kiss Frosty Orange 100/100 Pixie Tag SF</t>
  </si>
  <si>
    <t>TAG Gazania Kiss Frosty Orange Flame 100/100 Pixie Tag SF</t>
  </si>
  <si>
    <t>TAG Gazania Kiss Frosty Red 100/100 Pixie Tag SF</t>
  </si>
  <si>
    <t>TAG Gazania Kiss Frosty White 100/100 Pixie Tag SF</t>
  </si>
  <si>
    <t>TAG Gazania Kiss Frosty White Flame 100/100 Pixie Tag SF</t>
  </si>
  <si>
    <t>TAG Gazania Kiss Frosty Yellow 100/100 Pixie Tag SF</t>
  </si>
  <si>
    <t>TAG Gazania Kiss Golden Flame 100/100 Pixie Tag SF</t>
  </si>
  <si>
    <t>TAG Gazania Kiss Mix 100/100 Pixie Tag SF</t>
  </si>
  <si>
    <t>TAG Gazania Kiss Orange 100/100 Pixie Tag SF</t>
  </si>
  <si>
    <t>TAG Gazania Kiss Orange Flame 100/100 Pixie Tag SF</t>
  </si>
  <si>
    <t>TAG Gazania Kiss Red 100/100 Pixie Tag SF</t>
  </si>
  <si>
    <t>TAG Gazania Kiss Rose 100/100 Pixie Tag SF</t>
  </si>
  <si>
    <t>TAG Gazania Kiss Series 100/100 Pixie Tag SF</t>
  </si>
  <si>
    <t>TAG Gazania Kiss White 100/100 Pixie Tag SF</t>
  </si>
  <si>
    <t>TAG Gazania Kiss White Flame 100/100 Pixie Tag SF</t>
  </si>
  <si>
    <t>TAG Gazania Kiss Yellow 100/100 Pixie Tag SF</t>
  </si>
  <si>
    <t>TAG Gazania Kiss Yellow Flame 100/100 Pixie Tag SF</t>
  </si>
  <si>
    <t>TAG Gazania Mix GENERIC 100/100 Pixie Tag</t>
  </si>
  <si>
    <t>TAG Gazania Snbathers Nahui 100/100 Pixie Tag</t>
  </si>
  <si>
    <t>TAG Gazania Snbathers Tikal 100/100 Pixie Tag</t>
  </si>
  <si>
    <t>TAG Gazania Snbathers Totonaca 100/100 Pixie Tag</t>
  </si>
  <si>
    <t>TAG Gazania Sunme Series 100/100 Pixie Tag</t>
  </si>
  <si>
    <t>TAG Gazania Talent Mix 100/100 Pixie Tag</t>
  </si>
  <si>
    <t>TAG Gazania Tiger Mix 100/100 Pixie Tag</t>
  </si>
  <si>
    <t>TAG Gazania Zany Mix 100/100 Pixie Tag</t>
  </si>
  <si>
    <t>TAG Gazania Zany Yellow 100/100 Pixie Tag</t>
  </si>
  <si>
    <t>TAG GENERIC Perennial 25/25 Portrait Tag</t>
  </si>
  <si>
    <t>TAG Geranium Americana Bright Red 50/50 Petite Portrait SF FUL</t>
  </si>
  <si>
    <t>TAG Geranium Americana Cherry Rose 50/50 Petite Portrait SF FUL</t>
  </si>
  <si>
    <t>TAG Geranium Americana Coral 50/50 Petite Portrait SF FUL</t>
  </si>
  <si>
    <t>TAG Geranium Americana Dark Red 50/50 Petite Portrait SF FUL</t>
  </si>
  <si>
    <t>TAG Geranium Americana Dark Salmon 50/50 Petite Portrait SF FUL</t>
  </si>
  <si>
    <t>TAG Geranium Americana Hot Pink 50/50 Petite Portrait SF FUL</t>
  </si>
  <si>
    <t>TAG Geranium Americana Lavender Splash 50/50 Petite Portrait SF FUL</t>
  </si>
  <si>
    <t>TAG Geranium Americana Light Pink Splash 50/50 Petite Portrait SF FUL</t>
  </si>
  <si>
    <t>TAG Geranium Americana Orchid 50/50 Petite Portrait SF FUL</t>
  </si>
  <si>
    <t>TAG Geranium Americana Pink 50/50 Petite Portrait SF FUL</t>
  </si>
  <si>
    <t>TAG Geranium Americana Red 50/50 Petite Portrait SF FUL</t>
  </si>
  <si>
    <t>TAG Geranium Americana Rose Mega Splash 50/50 Petite Portrait SF FUL</t>
  </si>
  <si>
    <t>TAG Geranium Americana Salmon 50/50 Petite Portrait SF FUL</t>
  </si>
  <si>
    <t>TAG Geranium Americana Scarlet Fire 50/50 Petite Portrait SF FUL</t>
  </si>
  <si>
    <t>TAG Geranium Americana Violet 50/50 Petite Portrait SF FUL</t>
  </si>
  <si>
    <t>TAG Geranium Americana Violet Ice 50/50 Petite Portrait SF FUL</t>
  </si>
  <si>
    <t>TAG Geranium Americana White 50/50 Petite Portrait SF FUL</t>
  </si>
  <si>
    <t>TAG Geranium Americana White Splash 50/50 Petite Portrait SF FUL</t>
  </si>
  <si>
    <t>TAG Geranium Appleblossom GENERIC 100/100 Pixie Tag</t>
  </si>
  <si>
    <t>TAG Geranium Appleblossom Variegata 100/100 Pixie Tag</t>
  </si>
  <si>
    <t>TAG Geranium Aristo Series 100/100 Pixie Tag</t>
  </si>
  <si>
    <t>TAG Geranium Aroma Series 100/100 Pixie Tag</t>
  </si>
  <si>
    <t>TAG Geranium Attar Of Roses 100/100 Pixie Tag</t>
  </si>
  <si>
    <t>TAG Geranium Azure Rush 25/25 Portrait Tag</t>
  </si>
  <si>
    <t>TAG Geranium Bevan's Variety 25/25 Portrait Tag</t>
  </si>
  <si>
    <t>TAG Geranium Bicolor GENERIC 100/100 Pixie Tag</t>
  </si>
  <si>
    <t>TAG Geranium Big EEZE Coral 50/50 Petite Portrait DO FUL</t>
  </si>
  <si>
    <t>TAG Geranium Big EEZE Dark Red 50/50 Petite Portrait DO FUL</t>
  </si>
  <si>
    <t>TAG Geranium Big EEZE Foxy Flamingo 50/50 Petite Portrait DO FUL</t>
  </si>
  <si>
    <t>TAG Geranium Big EEZE Fuchsia Blue 50/50 Petite Portrait DO FUL</t>
  </si>
  <si>
    <t>TAG Geranium Big EEZE Neon 50/50 Petite Portrait DO FUL</t>
  </si>
  <si>
    <t>TAG Geranium Big EEZE Pink 50/50 Petite Portrait DO FUL</t>
  </si>
  <si>
    <t>TAG Geranium Big EEZE Pink Batik 50/50 Petite Portrait DO FUL</t>
  </si>
  <si>
    <t>TAG Geranium Big EEZE Sakura 50/50 Petite Portrait DO FUL</t>
  </si>
  <si>
    <t>TAG Geranium Big EEZE Salmon 50/50 Petite Portrait DO FUL</t>
  </si>
  <si>
    <t>TAG Geranium Big EEZE Scarlet 50/50 Petite Portrait DO FUL</t>
  </si>
  <si>
    <t>TAG Geranium Big EEZE Watermelon 50/50 Petite Portrait DO FUL</t>
  </si>
  <si>
    <t>TAG Geranium Big EEZE White 50/50 Petite Portrait DO FUL</t>
  </si>
  <si>
    <t>TAG Geranium Biokovo Cantabrigiense 25/25 Portrait Tag</t>
  </si>
  <si>
    <t>TAG Geranium Blizzard Dark Red 50/50 Petite Portrait SF FUL</t>
  </si>
  <si>
    <t>TAG Geranium Black N White 25/25 Portrait Tag</t>
  </si>
  <si>
    <t>TAG Geranium Blushing Turtle 25/25 Portrait Tag</t>
  </si>
  <si>
    <t>TAG Geranium Brocade Cherry Night 50/50 Petite Portrait DO FUL</t>
  </si>
  <si>
    <t>TAG Geranium Brocade Fire 50/50 Petite Portrait DO FUL</t>
  </si>
  <si>
    <t>TAG Geranium Brocade Fire Night 50/50 Petite Portrait DO FUL</t>
  </si>
  <si>
    <t>TAG Geranium Brocade Salmon Night 50/50 Petite Portrait DO FUL</t>
  </si>
  <si>
    <t>TAG Geranium Brocade Wilhelm Langguth 50/50 Petite Portrait DO FUL</t>
  </si>
  <si>
    <t>TAG Geranium Brookside 25/25 Portrait Tag</t>
  </si>
  <si>
    <t>TAG Geranium Bright Pink Bilingual GENERIC 100/100 Pixie Tag</t>
  </si>
  <si>
    <t>TAG Geranium Bright Red Bilingual GENERIC 100/100 Pixie Tag</t>
  </si>
  <si>
    <t>TAG Geranium BullsEye Cherry 100/100 Pixie Tag SF</t>
  </si>
  <si>
    <t>TAG Geranium BullsEye Light Pink 100/100 Pixie Tag SF</t>
  </si>
  <si>
    <t>TAG Geranium BullsEye Mix 100/100 Pixie Tag SF</t>
  </si>
  <si>
    <t>TAG Geranium BullsEye Red 100/100 Pixie Tag SF</t>
  </si>
  <si>
    <t>TAG Geranium BullsEye Salmon 100/100 Pixie Tag SF</t>
  </si>
  <si>
    <t>TAG Geranium BullsEye Scarlet 100/100 Pixie Tag SF</t>
  </si>
  <si>
    <t>TAG Geranium Caldera Hot Pink 50/50 Pixie Tag SF FUL</t>
  </si>
  <si>
    <t>TAG Geranium Caldera Lavender Glow 50/50 Petite Portrait SF FUL</t>
  </si>
  <si>
    <t>TAG Geranium Caldera Pink 50/50 Petite Portrait SF FUL</t>
  </si>
  <si>
    <t>TAG Geranium Caldera Red 50/50 Petite Portrait SF FUL</t>
  </si>
  <si>
    <t>TAG Geranium Caldera Salmon 50/50 Petite Portrait SF FUL</t>
  </si>
  <si>
    <t>TAG Geranium Caliente Coral Salmon 50/50 Petite Portrait SF FUL</t>
  </si>
  <si>
    <t>TAG Geranium Caliente Deep Red 50/50 Petite Portrait SF FUL</t>
  </si>
  <si>
    <t>TAG Geranium Caliente Fire 50/50 Petite Portrait SF FUL</t>
  </si>
  <si>
    <t>TAG Geranium Caliente Hot Coral 50/50 Petite Portrait SF FUL</t>
  </si>
  <si>
    <t>TAG Geranium Caliente Lavender Improved 50/50 Petite Portrait SF FUL</t>
  </si>
  <si>
    <t>TAG Geranium Caliente Orange 50/50 Petite Portrait SF FUL</t>
  </si>
  <si>
    <t>TAG Geranium Caliente Pink 50/50 Petite Portrait SF FUL</t>
  </si>
  <si>
    <t>TAG Geranium Caliente Rose 50/50 Petite Portrait SF FUL</t>
  </si>
  <si>
    <t>TAG Geranium Caliente White 50/50 Petite Portrait SF FUL</t>
  </si>
  <si>
    <t>TAG Geranium Calliope Cascade Violet 50/50 Petite Portrait SF FUL</t>
  </si>
  <si>
    <t>TAG Geranium Calliope Large Burgundy 50/50 Petite Portrait SF FUL</t>
  </si>
  <si>
    <t>TAG Geranium Calliope Large Coral 50/50 Petite Portrait SF FUL</t>
  </si>
  <si>
    <t>TAG Geranium Calliope Large Dark Red 50/50 Petite Portrait SF FUL</t>
  </si>
  <si>
    <t>TAG Geranium Calliope Large Dark Salmon 50/50 Pixie Tag SF FUL</t>
  </si>
  <si>
    <t>TAG Geranium Calliope Large Hot Pink 50/50 Petite Portrait SF FUL</t>
  </si>
  <si>
    <t>TAG Geranium Calliope Large Hot Rose 50/50 Petite Portrait SF FUL</t>
  </si>
  <si>
    <t>TAG Geranium Calliope Large Lavender Mega Splash 50/50 Petite Portrait SF FUL</t>
  </si>
  <si>
    <t>TAG Geranium Calliope Large Lavender 50/50 Petite Portrait SF FUL</t>
  </si>
  <si>
    <t>TAG Geranium Calliope Large Magenta 50/50 Petite Portrait SF FUL</t>
  </si>
  <si>
    <t>TAG Geranium Calliope Large Orange Splash 50/50 Petite Portrait SF FUL</t>
  </si>
  <si>
    <t>TAG Geranium Calliope Large Pink 50/50 Petite Portrait SF FUL</t>
  </si>
  <si>
    <t>TAG Geranium Calliope Large Red 50/50 Petite Portrait SF FUL</t>
  </si>
  <si>
    <t>TAG Geranium Calliope Large Rose Mega Splash 50/50 Petite Portrait SF FUL</t>
  </si>
  <si>
    <t>TAG Geranium Calliope Large Salmon 50/50 Petite Portrait SF FUL</t>
  </si>
  <si>
    <t>TAG Geranium Calliope Large Scarlet Fire 50/50 Petite Portrait SF FUL</t>
  </si>
  <si>
    <t>TAG Geranium Calliope Large White 50/50 Petite Portrait SF FUL</t>
  </si>
  <si>
    <t>TAG Geranium Calliope Medium Bright Rose 50/50 Petite Portrait SF FUL</t>
  </si>
  <si>
    <t>TAG Geranium Calliope Medium Bright Scarlet 50/50 Petite Portrait SF FUL</t>
  </si>
  <si>
    <t>TAG Geranium Calliope Medium Burgundy 50/50 Petite Portrait SF FUL</t>
  </si>
  <si>
    <t>TAG Geranium Calliope Medium Cherry 50/50 Petite Portrait SF FUL</t>
  </si>
  <si>
    <t>TAG Geranium Calliope Medium Crimson Flame 50/50 Petite Portrait SF FUL</t>
  </si>
  <si>
    <t>TAG Geranium Calliope Medium Dark Pink 50/50 Petite Portrait SF FUL</t>
  </si>
  <si>
    <t>TAG Geranium Calliope Medium Dark Red Dark Leaf 50/50 Petite Portrait SF FUL</t>
  </si>
  <si>
    <t>TAG Geranium Calliope Medium Dark Red 50/50 Petite Portrait SF FUL</t>
  </si>
  <si>
    <t>TAG Geranium Calliope Medium Deep Rose 50/50 Petite Portrait SF FUL</t>
  </si>
  <si>
    <t>TAG Geranium Calliope Medium Hot Pink 50/50 Petite Portrait SF FUL</t>
  </si>
  <si>
    <t>TAG Geranium Calliope Medium Hot Rose 50/50 Petite Portrait SF FUL</t>
  </si>
  <si>
    <t>TAG Geranium Calliope Medium Lavender Rose 50/50 Petite Portrait SF FUL</t>
  </si>
  <si>
    <t>TAG Geranium Calliope Medium Pink Flame 50/50 Petite Portrait SF FUL</t>
  </si>
  <si>
    <t>TAG Geranium Calliope Medium Red 50/50 Petite Portrait SF FUL</t>
  </si>
  <si>
    <t>TAG Geranium Calliope Medium Rose Mega Splash 50/50 Petite Portrait SF FUL</t>
  </si>
  <si>
    <t>TAG Geranium Calliope Medium Salmon 50/50 Petite Portrait SF FUL</t>
  </si>
  <si>
    <t>TAG Geranium Calliope Medium Violet 50/50 Petite Portrait SF FUL</t>
  </si>
  <si>
    <t>TAG Geranium Calliope Medium White 50/50 Petite Portrait SF FUL</t>
  </si>
  <si>
    <t>TAG Geranium Calliope Medium White Splash 50/50 Petite Portrait SF FUL</t>
  </si>
  <si>
    <t>TAG Geranium Candy Flowers Series 100/100 Pixie Tag</t>
  </si>
  <si>
    <t>TAG Geranium Candy Idols Blue 50/50 Petite Portrait DO FUL</t>
  </si>
  <si>
    <t>TAG Geranium Candy Idols Bright Red 50/50 Petite Portrait DO FUL</t>
  </si>
  <si>
    <t>TAG Geranium Candy Idols Dark Salmon 50/50 Petite Portrait DO FUL</t>
  </si>
  <si>
    <t>TAG Geranium Candy Idols Neon 50/50 Petite Portrait DO FUL</t>
  </si>
  <si>
    <t>TAG Geranium Candy Idols Rose With Eye 50/50 Petite Portrait DO FUL</t>
  </si>
  <si>
    <t>TAG Geranium Candy Idols Violet 50/50 Petite Portrait DO FUL</t>
  </si>
  <si>
    <t>TAG Geranium Candy Idols White 50/50 Petite Portrait DO FUL</t>
  </si>
  <si>
    <t>TAG Geranium Candy Rose Splash 50/50 Petite Portrait DO FUL</t>
  </si>
  <si>
    <t>TAG Geranium Candy White Parfait 50/50 Petite Portrait DO FUL</t>
  </si>
  <si>
    <t>TAG Geranium Cascade Acapulco Compact 50/50 Petite Portrait SF FUL</t>
  </si>
  <si>
    <t>TAG Geranium Cascade Appleblossom 50/50 Petite Portrait SF FUL</t>
  </si>
  <si>
    <t>TAG Geranium Cascade Bright 50/50 Petite Portrait SF FUL</t>
  </si>
  <si>
    <t>TAG Geranium Cascade Dark Red 50/50 Petite Portrait SF FUL</t>
  </si>
  <si>
    <t>TAG Geranium Cascade Sofie 50/50 Petite Portrait SF FUL</t>
  </si>
  <si>
    <t>TAG Geranium Cascade White 50/50 Petite Portrait SF FUL</t>
  </si>
  <si>
    <t>TAG Geranium Cassiopeia 100/100 Pixie Tag</t>
  </si>
  <si>
    <t>TAG Geranium Chocolate Apricot 100/100 Pixie Tag</t>
  </si>
  <si>
    <t>TAG Geranium Chocolate Cherry 100/100 Pixie Tag</t>
  </si>
  <si>
    <t>TAG Geranium Chocolate Fire 100/100 Pixie Tag</t>
  </si>
  <si>
    <t>TAG Geranium Chocolate Pink Dragonfruit 100/100 Pixie Tag</t>
  </si>
  <si>
    <t>TAG Geranium Citronella 50/50 Petite Portrait DO FUL</t>
  </si>
  <si>
    <t>TAG Geranium Citrosum 100/100 Pixie Tag</t>
  </si>
  <si>
    <t>TAG Geranium Classic Mosaic Purple 50/50 Petite Portrait SF FUL</t>
  </si>
  <si>
    <t>TAG Geranium Classic Mosaic Red 50/50 Petite Portrait SF FUL</t>
  </si>
  <si>
    <t>TAG Geranium Concolor Lace 100/100 Pixie Tag</t>
  </si>
  <si>
    <t>TAG Geranium Contessa Burgundy 50/50 Petite Portrait SF FUL</t>
  </si>
  <si>
    <t>TAG Geranium Contessa Red 50/50 Petite Portrait SF FUL</t>
  </si>
  <si>
    <t>TAG Geranium Coral Bilingual GENERIC 100/100 Pixie Tag</t>
  </si>
  <si>
    <t>TAG Geranium Crystal Palace 100/100 Pixie Tag</t>
  </si>
  <si>
    <t>TAG Geranium Darko Series 100/100 Pixie Tag</t>
  </si>
  <si>
    <t>TAG Geranium Darko Soft Rose 100/100 Pixie Tag</t>
  </si>
  <si>
    <t>TAG Geranium Darko Spanish Wine Rose 100/100 Pixie Tag</t>
  </si>
  <si>
    <t>TAG Geranium Decora Red Ivy 50/50 Petite Portrait DO FUL</t>
  </si>
  <si>
    <t>TAG Geranium Dark Red Bilingual GENERIC 100/100 Pixie Tag</t>
  </si>
  <si>
    <t>TAG Geranium Deep Rose Bilingual GENERIC 100/100 Pixie Tag</t>
  </si>
  <si>
    <t>TAG Geranium Elanos Series 100/100 Pixie Tag</t>
  </si>
  <si>
    <t>TAG Geranium Elegance Bravo Regal 50/50 Petite Portrait DO FUL</t>
  </si>
  <si>
    <t>TAG Geranium Elegance Burgundy 50/50 Petite Portrait DO FUL</t>
  </si>
  <si>
    <t>TAG Geranium Elegance Cherry Blush 50/50 Petite Portrait DO FUL</t>
  </si>
  <si>
    <t>TAG Geranium Elegance Claret 50/50 Petite Portrait DO FUL</t>
  </si>
  <si>
    <t>TAG Geranium Elegance Crystal Rose 50/50 Petite Portrait DO FUL</t>
  </si>
  <si>
    <t>TAG Geranium Elegance Imperial 50/50 Petite Portrait DO FUL</t>
  </si>
  <si>
    <t>TAG Geranium Elegance Lilac Majesty 50/50 Petite Portrait DO FUL</t>
  </si>
  <si>
    <t>TAG Geranium Elegance Lilac Sachet 50/50 Petite Portrait DO FUL</t>
  </si>
  <si>
    <t>TAG Geranium Elegance Light Lavender Splash 50/50 Petite Portrait DO FUL</t>
  </si>
  <si>
    <t>TAG Geranium Elegance Purple Majesty 50/50 Petite Portrait DO FUL</t>
  </si>
  <si>
    <t>TAG Geranium Elegance Red Velvet 50/50 Petite Portrait DO FUL</t>
  </si>
  <si>
    <t>TAG Geranium Elegance Rose Bicolor 50/50 Petite Portrait DO FUL</t>
  </si>
  <si>
    <t>TAG Geranium Elegance Royalty White 50/50 Petite Portrait DO FUL</t>
  </si>
  <si>
    <t>TAG Geranium Elegance Sunrise 50/50 Petite Portrait DO FUL</t>
  </si>
  <si>
    <t>TAG Geranium Exotica Coral Sunrise 50/50 Petite Portrait SF FUL</t>
  </si>
  <si>
    <t>TAG Geranium Fireworks Series 100/100 Pixie Tag</t>
  </si>
  <si>
    <t>TAG Geranium Fragrans 100/100 Pixie Tag</t>
  </si>
  <si>
    <t>TAG Geranium Global Burgundy 50/50 Petite Portrait FUL</t>
  </si>
  <si>
    <t>TAG Geranium Global Innovation Stars And Stripes 50/50 Petite Portrait FUL</t>
  </si>
  <si>
    <t>TAG Geranium Global Lavender 50/50 Petite Portrait DO FUL</t>
  </si>
  <si>
    <t>TAG Geranium Global Red 50/50 Petite Portrait DO FUL</t>
  </si>
  <si>
    <t>TAG Geranium Global Rose Pink 50/50 Petite Portrait DO FUL</t>
  </si>
  <si>
    <t>TAG Geranium Global Royal White 50/50 Petite Portrait DO FUL</t>
  </si>
  <si>
    <t>TAG Geranium Glory Days Pink Bicolor 50/50 Petite Portrait DO FUL</t>
  </si>
  <si>
    <t>TAG Geranium Glory Days Red Orange Bicolor 50/50 Petite Portrait DO FUL</t>
  </si>
  <si>
    <t>TAG Geranium GENERIC 100/100 Hang Tag</t>
  </si>
  <si>
    <t>TAG Geranium GENERIC 25/25 Portrait Tag</t>
  </si>
  <si>
    <t>TAG Geranium Bilingual GENERIC 100/100 Pixie Tag</t>
  </si>
  <si>
    <t>TAG Geranium Grace Series 100/100 Pixie Tag</t>
  </si>
  <si>
    <t>TAG Geranium Great Balls Of Fire Blue 50/50 Petite Portrait DO FUL</t>
  </si>
  <si>
    <t>TAG Geranium Great Balls Of Fire Burgundy 50/50 Petite Portrait DO FUL</t>
  </si>
  <si>
    <t>TAG Geranium Great Balls Of Fire Dark Red 50/50 Petite Portrait DO FUL</t>
  </si>
  <si>
    <t>TAG Geranium Great Balls Fire Hot Pink 50/50 Petite Portrait DO FUL</t>
  </si>
  <si>
    <t>TAG Geranium Great Balls Of Fire Lavender 23 50/50 Petite Portrait DO FUL</t>
  </si>
  <si>
    <t>TAG Geranium Great Balls Of Fire Lavender 50/50 Petite Portrait DO FUL</t>
  </si>
  <si>
    <t>TAG Geranium Great Balls Fire Lilac 50/50 Petite Portrait DO FUL</t>
  </si>
  <si>
    <t>TAG Geranium Great Balls Of Fire Light Lavender 50/50 Petite Portrait DO FUL</t>
  </si>
  <si>
    <t>TAG Geranium Great Balls Of Fire Melon 50/50 Petite Portrait DO FUL</t>
  </si>
  <si>
    <t>TAG Geranium Great Balls Of Fire Merlot 50/50 Petite Portrait DO FUL</t>
  </si>
  <si>
    <t>TAG Geranium Great Balls Of Fire Pink 50/50 Petite Portrait DO FUL</t>
  </si>
  <si>
    <t>TAG Geranium Great Balls Of Fire Pink 23 50/50 Petite Portrait DO FUL</t>
  </si>
  <si>
    <t>TAG Geranium Great Balls Of Fire Salmon 50/50 Petite Portrait DO FUL</t>
  </si>
  <si>
    <t>TAG Geranium Great Balls Of Fire Stars And Stripes 50/50 Petite Portrait DO FUL</t>
  </si>
  <si>
    <t>TAG Geranium Great Balls Of Fire Velvet 50/50 Petite Portrait DO FUL</t>
  </si>
  <si>
    <t>TAG Geranium Great Balls Of Fire White 50/50 Petite Portrait DO FUL</t>
  </si>
  <si>
    <t>TAG Geranium Hampshire Purple 25/25 Portrait Tag</t>
  </si>
  <si>
    <t>TAG Geranium Hexham Velvet 25/25 Portrait Tag</t>
  </si>
  <si>
    <t>TAG Geranium Ivy Dandy Series 100/100 Pixie Tag</t>
  </si>
  <si>
    <t>TAG Geranium Ivy GENERIC 100/100 Hang Tag</t>
  </si>
  <si>
    <t>TAG Geranium Ivy GENERIC 100/100 Pixie Tag</t>
  </si>
  <si>
    <t>TAG Geranium Ivy Lavender GENERIC 100/100 Pixie Tag SF</t>
  </si>
  <si>
    <t>TAG Geranium Ivy League Amethyst 50/50 Petite Portrait SF FUL</t>
  </si>
  <si>
    <t>TAG Geranium Ivy League Arctic Red 50/50 Petite Portrait SF FUL</t>
  </si>
  <si>
    <t>TAG Geranium Ivy League Burgundy 50/50 Petite Portrait SF FUL</t>
  </si>
  <si>
    <t>TAG Geranium Ivy League Burgundy Bicolor 50/50 Petite Portrait SF FUL</t>
  </si>
  <si>
    <t>TAG Geranium Ivy League Cherry Blossom 50/50 Petite Portrait SF FUL</t>
  </si>
  <si>
    <t>TAG Geranium Ivy League Deep Pink 50/50 Petite Portrait SF FUL</t>
  </si>
  <si>
    <t>TAG Geranium Ivy League Hot Coral 50/50 Petite Portrait SF FUL</t>
  </si>
  <si>
    <t>TAG Geranium Ivy League Light Lavender 50/50 Petite Portrait SF FUL</t>
  </si>
  <si>
    <t>TAG Geranium Ivy League Orchid 50/50 Petite Portrait SF FUL</t>
  </si>
  <si>
    <t>TAG Geranium Ivy League Red 50/50 Petite Portrait SF FUL</t>
  </si>
  <si>
    <t>TAG Geranium Ivy League Salmon 50/50 Petite Portrait SF FUL</t>
  </si>
  <si>
    <t>TAG Geranium Ivy League White 50/50 Petite Portrait SF FUL</t>
  </si>
  <si>
    <t>TAG Geranium Ivy Reach Out Series 100/100 Pixie Tag SF</t>
  </si>
  <si>
    <t>TAG Geranium Ivy Red GENERIC 100/100 Pixie Tag SF</t>
  </si>
  <si>
    <t>TAG Geranium Ivy Tornado Series 100/100 Pixie Tag SF</t>
  </si>
  <si>
    <t>TAG Geranium Ivy White GENERIC 100/100 Pixie Tag SF</t>
  </si>
  <si>
    <t>TAG Geranium Johnson's Blue 25/25 Portrait Tag</t>
  </si>
  <si>
    <t>TAG Geranium Karmina 25/25 Portrait Tag</t>
  </si>
  <si>
    <t>TAG Geranium Lady Plymouth 25/25 Portrait Tag</t>
  </si>
  <si>
    <t>TAG Geranium Lavender Bilingual GENERIC 100/100 Pixie Tag</t>
  </si>
  <si>
    <t>TAG Geranium Lemona 100/100 Pixie Tag</t>
  </si>
  <si>
    <t>TAG Geranium Light Pink Bilingual GENERIC 100/100 Pixie Tag</t>
  </si>
  <si>
    <t>TAG Geranium Light Salmon Bilingual 100/100 Pixie Tag</t>
  </si>
  <si>
    <t>TAG Geranium Maestro Idols Bright Red 50/50 Petite Portrait DO FUL</t>
  </si>
  <si>
    <t>TAG Geranium Maestro Idols Cherry 50/50 Petite Portrait DO FUL</t>
  </si>
  <si>
    <t>TAG Geranium Maestro Idols Deep Red 50/50 Petite Portrait DO FUL</t>
  </si>
  <si>
    <t>TAG Geranium Maestro Idols Light Pink Parfait 50/50 Petite Portrait DO FUL</t>
  </si>
  <si>
    <t>TAG Geranium Maestro Idols Neon Violet 50/50 Petite Portrait DO FUL</t>
  </si>
  <si>
    <t>TAG Geranium Maestro Idols Pink Parfait 50/50 Petite Portrait DO FUL</t>
  </si>
  <si>
    <t>TAG Geranium Maestro Idols Red 50/50 Petite Portrait DO FUL</t>
  </si>
  <si>
    <t>TAG Geranium Maestro Idols Salmon Splash 50/50 Petite Portrait DO FUL</t>
  </si>
  <si>
    <t>TAG Geranium Maestro Idols Salmon 50/50 Petite Portrait DO FUL</t>
  </si>
  <si>
    <t>TAG Geranium Maestro Idols Sassy Dark Red 50/50 Petite Portrait DO FUL</t>
  </si>
  <si>
    <t>TAG Geranium Maestro Idols True Red 50/50 Petite Portrait DO FUL</t>
  </si>
  <si>
    <t>TAG Geranium Maestro Idols White 50/50 Petite Portrait DO FUL</t>
  </si>
  <si>
    <t>TAG Geranium Mantra Bright Red 50/50 Petite Portrait SF FUL</t>
  </si>
  <si>
    <t>TAG Geranium Mantra Magenta 50/50 Petite Portrait SF FUL</t>
  </si>
  <si>
    <t>TAG Geranium Mantra Pink 50/50 Petite Portrait SF FUL</t>
  </si>
  <si>
    <t>TAG Geranium Martha Washington GENERIC 100/100 Pixie Tag</t>
  </si>
  <si>
    <t>TAG Geranium Maverick Appleblossom 100/100 Pixie Tag SF</t>
  </si>
  <si>
    <t>TAG Geranium Maverick Coral 100/100 Pixie Tag SF</t>
  </si>
  <si>
    <t>TAG Geranium Maverick Mix 100/100 Pixie Tag SF</t>
  </si>
  <si>
    <t>TAG Geranium Maverick Orange 100/100 Pixie Tag SF</t>
  </si>
  <si>
    <t>TAG Geranium Maverick Pink 100/100 Pixie Tag SF</t>
  </si>
  <si>
    <t>TAG Geranium Maverick Quicksilver 100/100 Pixie Tag SF</t>
  </si>
  <si>
    <t>TAG Geranium Maverick Red 100/100 Pixie Tag SF</t>
  </si>
  <si>
    <t>TAG Geranium Maverick Rose 100/100 Pixie Tag SF</t>
  </si>
  <si>
    <t>TAG Geranium Maverick Salmon 100/100 Pixie Tag SF</t>
  </si>
  <si>
    <t>TAG Geranium Maverick Scarlet 100/100 Pixie Tag SF</t>
  </si>
  <si>
    <t>TAG Geranium Maverick Scarlet Picotee 100/100 Pixie Tag SF</t>
  </si>
  <si>
    <t>TAG Geranium Maverick Star 100/100 Pixie Tag SF</t>
  </si>
  <si>
    <t>TAG Geranium Maverick Violet 100/100 Pixie Tag SF</t>
  </si>
  <si>
    <t>TAG Geranium Maverick Violet Picotee 100/100 Pixie Tag SF</t>
  </si>
  <si>
    <t>TAG Geranium Maverick White 100/100 Pixie Tag SF</t>
  </si>
  <si>
    <t>TAG Geranium Max Frei 25/25 Portrait Tag</t>
  </si>
  <si>
    <t>TAG Geranium Magenta Bilingual GENERIC 100/100 Pixie Tag</t>
  </si>
  <si>
    <t>TAG Geranium Mini Cascade Lavender 50/50 Petite Portrait DO FUL</t>
  </si>
  <si>
    <t>TAG Geranium Mini Cascade Pink 50/50 Petite Portrait DO FUL</t>
  </si>
  <si>
    <t>TAG Geranium Mini Cascade Red 50/50 Petite Portrait DO FUL</t>
  </si>
  <si>
    <t>TAG Geranium Mojo Cranberry Splash 50/50 Petite Portrait SF FUL</t>
  </si>
  <si>
    <t>TAG Geranium Mojo Dark Pink 50/50 Petite Portrait SF FUL</t>
  </si>
  <si>
    <t>TAG Geranium Mojo Dark Red 50/50 Petite Portrait SF FUL</t>
  </si>
  <si>
    <t>TAG Geranium Mojo Hot Cherry 50/50 Petite Portrait SF FUL</t>
  </si>
  <si>
    <t>TAG Geranium Mojo Magenta 50/50 Petite Portrait SF FUL</t>
  </si>
  <si>
    <t>TAG Geranium Mojo Orange 50/50 Petite Portrait SF FUL</t>
  </si>
  <si>
    <t>TAG Geranium Mojo Salmon 50/50 Petite Portrait SF FUL</t>
  </si>
  <si>
    <t>TAG Geranium Mojo Scarlet 50/50 Petite Portrait SF FUL</t>
  </si>
  <si>
    <t>TAG Geranium Mojo White 50/50 Petite Portrait SF FUL</t>
  </si>
  <si>
    <t>TAG Geranium Mojo White Splash 50/50 Pixie Tag SF FUL</t>
  </si>
  <si>
    <t>TAG Geranium Moxie Dark Red 50/50 Petite Portrait SF FUL</t>
  </si>
  <si>
    <t>TAG Geranium Moxie Deep Rose Mega Splash 50/50 Petite Portrait SF FUL</t>
  </si>
  <si>
    <t>TAG Geranium Moxie Hot Pink 50/50 Petite Portrait SF FUL</t>
  </si>
  <si>
    <t>TAG Geranium Moxie Orange 50/50 Petite Portrait SF FUL</t>
  </si>
  <si>
    <t>TAG Geranium Moxie Pink 50/50 Petite Portrait SF FUL</t>
  </si>
  <si>
    <t>TAG Geranium Moxie Pink Splash 50/50 Petite Portrait SF FUL</t>
  </si>
  <si>
    <t>TAG Geranium Moxie Scarlet 50/50 Petite Portrait SF FUL</t>
  </si>
  <si>
    <t>TAG Geranium Moxie Violet 50/50 Petite Portrait SF FUL</t>
  </si>
  <si>
    <t>TAG Geranium Moxie White 50/50 Petite Portrait SF FUL</t>
  </si>
  <si>
    <t>TAG Geranium Mrs Pollock 100/100 Pixie Tag</t>
  </si>
  <si>
    <t>TAG Geranium Multibloom Capri 100/100 Pixie Tag SF</t>
  </si>
  <si>
    <t>TAG Geranium Multibloom Mix 100/100 Pixie Tag SF</t>
  </si>
  <si>
    <t>TAG Geranium Multibloom Pink 100/100 Pixie Tag SF</t>
  </si>
  <si>
    <t>TAG Geranium Multibloom Red 100/100 Pixie Tag SF</t>
  </si>
  <si>
    <t>TAG Geranium Multibloom Salmon 100/100 Pixie Tag SF</t>
  </si>
  <si>
    <t>TAG Geranium Multibloom Violet 100/100 Pixie Tag SF</t>
  </si>
  <si>
    <t>TAG Geranium Multibloom White 100/100 Pixie Tag SF</t>
  </si>
  <si>
    <t>TAG Geranium Orange GENERIC 100/100 Pixie Tag</t>
  </si>
  <si>
    <t>TAG Geranium Orange Glow 100/100 Pixie Tag</t>
  </si>
  <si>
    <t>TAG Geranium Patriot Berry Parfait 50/50 Petite Portrait DO FUL</t>
  </si>
  <si>
    <t>TAG Geranium Patriot Bright Pink 50/50 Petite Portrait DO FUL</t>
  </si>
  <si>
    <t>TAG Geranium Patriot Bright Red 50/50 Petite Portrait DO FUL</t>
  </si>
  <si>
    <t>TAG Geranium Patriot Bright Violet 50/50 Petite Portrait DO FUL</t>
  </si>
  <si>
    <t>TAG Geranium Patriot Berry Parfait CR3536 50/50 Petite Portrait DO FUL</t>
  </si>
  <si>
    <t>TAG Geranium Patriot Cherry Rose Improved 50/50 Petite Portrait DO FUL</t>
  </si>
  <si>
    <t>TAG Geranium Patriot Evening Glow 50/50 Petite Portrait DO FUL</t>
  </si>
  <si>
    <t>TAG Geranium Patriot Lavender Blue 50/50 Petite Portrait DO FUL</t>
  </si>
  <si>
    <t>TAG Geranium Patriot Orange 50/50 Petite Portrait DO FUL</t>
  </si>
  <si>
    <t>TAG Geranium Patriot Red Improved 50/50 Petite Portrait DO FUL</t>
  </si>
  <si>
    <t>TAG Geranium Patriot Rosalinda 50/50 Petite Portrait DO FUL</t>
  </si>
  <si>
    <t>TAG Geranium Patriot Rose Pink 50/50 Petite Portrait DO FUL</t>
  </si>
  <si>
    <t>TAG Geranium Patriot Salmon 50/50 Petite Portrait DO FUL</t>
  </si>
  <si>
    <t>TAG Geranium Patriot Salmon Chic 50/50 Petite Portrait DO FUL</t>
  </si>
  <si>
    <t>TAG Geranium Patriot Tickled Pink 50/50 Petite Portrait DO FUL</t>
  </si>
  <si>
    <t>TAG Geranium Patriot Watermelon 50/50 Petite Portrait DO FUL</t>
  </si>
  <si>
    <t>TAG Geranium Patriot White Improved 50/50 Petite Portrait DO FUL</t>
  </si>
  <si>
    <t>TAG Geranium Pillar GENERIC 100/100 Pixie Tag</t>
  </si>
  <si>
    <t>TAG Geranium Pink Bicolor GENERIC 100/100 Pixie Tag</t>
  </si>
  <si>
    <t>TAG Geranium Pink GENERIC 100/100 Pixie Tag</t>
  </si>
  <si>
    <t>TAG Geranium Pinnacle Apple Blossom 50/50 Petite Portrait DO FUL</t>
  </si>
  <si>
    <t>TAG Geranium Pinnacle Dark Red 50/50 Petite Portrait DO FUL</t>
  </si>
  <si>
    <t>TAG Geranium Pinto Pink 100/100 Pixie Tag SF</t>
  </si>
  <si>
    <t>TAG Geranium Pinto Premium Coral 100/100 Pixie Tag SF</t>
  </si>
  <si>
    <t>TAG Geranium Pinto Premium Deep Red 100/100 Pixie Tag SF</t>
  </si>
  <si>
    <t>TAG Geranium Pinto Premium Deep Rose 100/100 Pixie Tag SF</t>
  </si>
  <si>
    <t>TAG Geranium Pinto Premium Deep Salmon 100/100 Pixie Tag SF</t>
  </si>
  <si>
    <t>TAG Geranium Pinto Premium Deep Scarlet 100/100 Pixie Tag SF</t>
  </si>
  <si>
    <t>TAG Geranium Pinto Premium Lavender 100/100 Pixie Tag SF</t>
  </si>
  <si>
    <t>TAG Geranium Pinto Premium Lavender Rose 100/100 Pixie Tag SF</t>
  </si>
  <si>
    <t>TAG Geranium Pinto Premium Mix 100/100 Pixie Tag SF</t>
  </si>
  <si>
    <t>TAG Geranium Pinto Premium Orange 100/100 Pixie Tag SF</t>
  </si>
  <si>
    <t>TAG Geranium Pinto Premium Orange Bicolor 100/100 Pixie Tag SF</t>
  </si>
  <si>
    <t>TAG Geranium Pinto Premium Rose Bicolor 100/100 Pixie Tag SF</t>
  </si>
  <si>
    <t>TAG Geranium Pinto Premium Salmon 100/100 Pixie Tag SF</t>
  </si>
  <si>
    <t>TAG Geranium Pinto Premium Salmon Splash 100/100 Pixie Tag SF</t>
  </si>
  <si>
    <t>TAG Geranium Pinto Premium Scarlet 100/100 Pixie Tag SF</t>
  </si>
  <si>
    <t>TAG Geranium Pinto Premium Violet 100/100 Pixie Tag SF</t>
  </si>
  <si>
    <t>TAG Geranium Pinto Premium White 100/100 Pixie Tag SF</t>
  </si>
  <si>
    <t>TAG Geranium Pinto Premium White To Rose 100/100 Pixie Tag SF</t>
  </si>
  <si>
    <t>TAG Geranium Pinto Red 100/100 Pixie Tag SF</t>
  </si>
  <si>
    <t>TAG Geranium Pink Bilingual GENERIC 100/100 Pixie Tag</t>
  </si>
  <si>
    <t>TAG Geranium Pretty Little Pink Splash 50/50 Petite Portrait SF FUL</t>
  </si>
  <si>
    <t>TAG Geranium Purple Bilingual GENERIC 100/100 Pixie Tag</t>
  </si>
  <si>
    <t>TAG Geranium Quercifolia Oakleaf 100/100 Pixie Tag</t>
  </si>
  <si>
    <t>TAG Geranium Red Bilingual GENERIC 100/100 Pixie Tag</t>
  </si>
  <si>
    <t>TAG Geranium Ringo 2000 Cardinal 100/100 Pixie Tag SF</t>
  </si>
  <si>
    <t>TAG Geranium Ringo 2000 Deep Red 100/100 Pixie Tag SF</t>
  </si>
  <si>
    <t>TAG Geranium Ringo 2000 Deep Rose 100/100 Pixie Tag SF</t>
  </si>
  <si>
    <t>TAG Geranium Ringo 2000 Deep Scarlet 100/100 Pixie Tag SF</t>
  </si>
  <si>
    <t>TAG Geranium Ringo 2000 Lavender 100/100 Pixie Tag SF</t>
  </si>
  <si>
    <t>TAG Geranium Ringo 2000 Pink 100/100 Pixie Tag SF</t>
  </si>
  <si>
    <t>TAG Geranium Ringo 2000 Red 100/100 Pixie Tag SF</t>
  </si>
  <si>
    <t>TAG Geranium Ringo 2000 Rose Star 100/100 Pixie Tag SF</t>
  </si>
  <si>
    <t>TAG Geranium Ringo 2000 Salmon 100/100 Pixie Tag SF</t>
  </si>
  <si>
    <t>TAG Geranium Ringo 2000 Scarlet Star 100/100 Pixie Tag SF</t>
  </si>
  <si>
    <t>TAG Geranium Ringo 2000 Violet 100/100 Pixie Tag SF</t>
  </si>
  <si>
    <t>TAG Geranium Ringo 2000 White 100/100 Pixie Tag SF</t>
  </si>
  <si>
    <t>TAG Geranium Rocky Mountain Dark Red 50/50 Petite Portrait SF FUL</t>
  </si>
  <si>
    <t>TAG Geranium Rocky Mountain Deep Rose 50/50 Petite Portrait SF FUL</t>
  </si>
  <si>
    <t>TAG Geranium Rocky Mountain Lavender 50/50 Petite Portrait SF FUL</t>
  </si>
  <si>
    <t>TAG Geranium Rocky Mountain Light Pink 50/50 Petite Portrait SF FUL</t>
  </si>
  <si>
    <t>TAG Geranium Rocky Mountain Magenta 50/50 Petite Portrait SF FUL</t>
  </si>
  <si>
    <t>TAG Geranium Rocky Mountain Orange 50/50 Petite Portrait SF FUL</t>
  </si>
  <si>
    <t>TAG Geranium Rocky Mountain Pink 50/50 Petite Portrait SF FUL</t>
  </si>
  <si>
    <t>TAG Geranium Rocky Mountain Red 50/50 Petite Portrait SF FUL</t>
  </si>
  <si>
    <t>TAG Geranium Rocky Mountain Salmon 50/50 Petite Portrait SF FUL</t>
  </si>
  <si>
    <t>TAG Geranium Rocky Mountain Violet 50/50 Petite Portrait SF FUL</t>
  </si>
  <si>
    <t>TAG Geranium Rocky Mountain White 50/50 Petite Portrait SF FUL</t>
  </si>
  <si>
    <t>TAG Geranium Rosalie Antique Salmon 50/50 Petite Portrait SF FUL</t>
  </si>
  <si>
    <t>TAG Geranium Rozanne 25/25 Portrait Tag</t>
  </si>
  <si>
    <t>TAG Geranium Rose Bilingual GENERIC 100/100 Pixie Tag</t>
  </si>
  <si>
    <t>TAG Geranium Sanguineum 25/25 Portrait Tag</t>
  </si>
  <si>
    <t>TAG Geranium Santana Dark Red 50/50 Petite Portrait DO FUL</t>
  </si>
  <si>
    <t>TAG Geranium Santana Fire 50/50 Petite Portrait DO FUL</t>
  </si>
  <si>
    <t>TAG Geranium Santana Pink 50/50 Petite Portrait DO FUL</t>
  </si>
  <si>
    <t>TAG Geranium Santana Pink Splash 50/50 Petite Portrait DO FUL</t>
  </si>
  <si>
    <t>TAG Geranium Santana Purple 50/50 Petite Portrait DO FUL</t>
  </si>
  <si>
    <t>TAG Geranium Santana White 50/50 Petite Portrait DO FUL</t>
  </si>
  <si>
    <t>TAG Geranium Santana White Splash 50/50 Petite Portrait DO FUL</t>
  </si>
  <si>
    <t>TAG Geranium Sarita Dark Red 50/50 Petite Portrait DO FUL</t>
  </si>
  <si>
    <t>TAG Geranium Sarita Fire 50/50 Petite Portrait DO FUL</t>
  </si>
  <si>
    <t>TAG Geranium Sarita Lilac Splash 50/50 Petite Portrait DO FUL</t>
  </si>
  <si>
    <t>TAG Geranium Sarita Neon Sizzle 50/50 Petite Portrait DO FUL</t>
  </si>
  <si>
    <t>TAG Geranium Sarita Pink 50/50 Petite Portrait DO FUL</t>
  </si>
  <si>
    <t>TAG Geranium Sarita Punch 50/50 Petite Portrait DO FUL</t>
  </si>
  <si>
    <t>TAG Geranium Sarita Salmon Pink 50/50 Petite Portrait DO FUL</t>
  </si>
  <si>
    <t>TAG Geranium Sarita Sunstar Red 50/50 Petite Portrait DO FUL</t>
  </si>
  <si>
    <t>TAG Geranium Sarita White 50/50 Petite Portrait DO FUL</t>
  </si>
  <si>
    <t>TAG Geranium Sarita Wild Salmon 50/50 Petite Portrait DO FUL</t>
  </si>
  <si>
    <t>TAG Geranium Savannah Blue 50/50 Petite Portrait DO FUL</t>
  </si>
  <si>
    <t>TAG Geranium Savannah Bright Eyes 50/50 Petite Portrait DO FUL</t>
  </si>
  <si>
    <t>TAG Geranium Savannah Cerise Sizzle 50/50 Petite Portrait DO FUL</t>
  </si>
  <si>
    <t>TAG Geranium Savannah Coral 50/50 Petite Portrait DO FUL</t>
  </si>
  <si>
    <t>TAG Geranium Savannah Hot Pink Sizzle 50/50 Petite Portrait DO FUL</t>
  </si>
  <si>
    <t>TAG Geranium Savannah Hot Rod Red 50/50 Petite Portrait DO FUL</t>
  </si>
  <si>
    <t>TAG Geranium Savannah Lavender Splash 50/50 Petite Portrait DO FUL</t>
  </si>
  <si>
    <t>TAG Geranium Savannah Light Salmon 50/50 Petite Portrait DO FUL</t>
  </si>
  <si>
    <t>TAG Geranium Savannah Merlot Sizzle 50/50 Petite Portrait DO FUL</t>
  </si>
  <si>
    <t>TAG Geranium Savannah Neon 50/50 Petite Portrait DO FUL</t>
  </si>
  <si>
    <t>TAG Geranium Savannah Oh So Orange 50/50 Petite Portrait DO FUL</t>
  </si>
  <si>
    <t>TAG Geranium Savannah Pink 50/50 Petite Portrait DO FUL</t>
  </si>
  <si>
    <t>TAG Geranium Savannah Pink Shades 50/50 Petite Portrait DO FUL</t>
  </si>
  <si>
    <t>TAG Geranium Savannah Pink Sizzle 50/50 Petite Portrait DO FUL</t>
  </si>
  <si>
    <t>TAG Geranium Savannah Pink Splash 50/50 Petite Portrait DO FUL</t>
  </si>
  <si>
    <t>TAG Geranium Savannah Punch 50/50 Petite Portrait DO FUL</t>
  </si>
  <si>
    <t>TAG Geranium Savannah Really Red 50/50 Petite Portrait DO FUL</t>
  </si>
  <si>
    <t>TAG Geranium Savannah Red 50/50 Petite Portrait DO FUL</t>
  </si>
  <si>
    <t>TAG Geranium Savannah Ruby Sizzle 50/50 Petite Portrait DO FUL</t>
  </si>
  <si>
    <t>TAG Geranium Savannah White 50/50 Petite Portrait DO FUL</t>
  </si>
  <si>
    <t>TAG Geranium Savannah White Splash Improved 50/50 Petite Portrait DO FUL</t>
  </si>
  <si>
    <t>TAG Geranium Scarlet Bilingual GENERIC 100/100 Pixie Tag</t>
  </si>
  <si>
    <t>TAG Geranium Scented Angel's Perfume 25/25 Portrait Tag</t>
  </si>
  <si>
    <t>TAG Geranium Scented Chocolate Mint 25/25 Portrait Tag</t>
  </si>
  <si>
    <t>TAG Geranium Scented Coconut 25/25 Portrait Tag</t>
  </si>
  <si>
    <t>TAG Geranium Scented GENERIC 100/100 Pixie Tag</t>
  </si>
  <si>
    <t>TAG Geranium Scented Nutmeg Varietaged 25/25 Portrait Tag</t>
  </si>
  <si>
    <t>TAG Geranium Scented Old Fashion Rose 25/25 Portrait Tag</t>
  </si>
  <si>
    <t>TAG Geranium Scented Pine 25/25 Portrait Tag</t>
  </si>
  <si>
    <t>TAG Geranium Seed GENERIC 100/100 Pixie Tag</t>
  </si>
  <si>
    <t>TAG Geranium Salmon Bilingual GENERIC 100/100 Pixie Tag</t>
  </si>
  <si>
    <t>TAG Geranium Starry Pure White 50/50 Petite Portrait SF FUL</t>
  </si>
  <si>
    <t>TAG Geranium Summer Idols Dark Red 50/50 Petite Portrait DO FUL</t>
  </si>
  <si>
    <t>TAG Geranium Summer Idols Hot Pink 50/50 Petite Portrait DO FUL</t>
  </si>
  <si>
    <t>TAG Geranium Summer Idols Orange 50/50 Petite Portrait DO FUL</t>
  </si>
  <si>
    <t>TAG Geranium Summer Idols Purple 50/50 Petite Portrait DO FUL</t>
  </si>
  <si>
    <t>TAG Geranium Summer Idols True Red 50/50 Petite Portrait DO FUL</t>
  </si>
  <si>
    <t>TAG Geranium Summer Idols White 50/50 Petite Portrait DO FUL</t>
  </si>
  <si>
    <t>TAG Geranium Survivor Baby Face 50/50 Petite Portrait DO FUL</t>
  </si>
  <si>
    <t>TAG Geranium Survivor Blue 50/50 Petite Portrait DO FUL</t>
  </si>
  <si>
    <t>TAG Geranium Survivor Cherry Red 50/50 Petite Portrait DO FUL</t>
  </si>
  <si>
    <t>TAG Geranium Survivor Coral 50/50 Petite Portrait DO FUL</t>
  </si>
  <si>
    <t>TAG Geranium Survivor Dark Red 50/50 Petite Portrait DO FUL</t>
  </si>
  <si>
    <t>TAG Geranium Survivor Fuchsia 50/50 Petite Portrait DO FUL</t>
  </si>
  <si>
    <t>TAG Geranium Survivor Hot Pink 50/50 Petite Portrait DO FUL</t>
  </si>
  <si>
    <t>TAG Geranium Survivor Indigo Sky 50/50 Petite Portrait DO FUL</t>
  </si>
  <si>
    <t>TAG Geranium Survivor Neon Violet 50/50 Petite Portrait DO FUL</t>
  </si>
  <si>
    <t>TAG Geranium Survivor Orange 50/50 Petite Portrait DO FUL</t>
  </si>
  <si>
    <t>TAG Geranium Survivor Paperbloom 50/50 Petite Portrait DO FUL</t>
  </si>
  <si>
    <t>TAG Geranium Survivor Pink 50/50 Petite Portrait DO FUL</t>
  </si>
  <si>
    <t>TAG Geranium Survivor Pink Batik 50/50 Petite Portrait DO FUL</t>
  </si>
  <si>
    <t>TAG Geranium Survivor Pink Charme 50/50 Petite Portrait DO FUL</t>
  </si>
  <si>
    <t>TAG Geranium Survivor Pink Mega Splash 50/50 Petite Portrait DO FUL</t>
  </si>
  <si>
    <t>TAG Geranium Survivor Pink Passion 50/50 Petite Portrait DO FUL</t>
  </si>
  <si>
    <t>TAG Geranium Survivor Salmon Pink 50/50 Petite Portrait DO FUL</t>
  </si>
  <si>
    <t>TAG Geranium Survivor Salmon Sensation 50/50 Petite Portrait DO FUL</t>
  </si>
  <si>
    <t>TAG Geranium Survivor Scarlet 50/50 Petite Portrait DO FUL</t>
  </si>
  <si>
    <t>TAG Geranium Survivor Tickled Pink 50/50 Petite Portrait DO FUL</t>
  </si>
  <si>
    <t>TAG Geranium Survivor White 11 50/50 Petite Portrait DO FUL</t>
  </si>
  <si>
    <t>TAG Geranium Sweet Mimosa 100/100 Pixie Tag</t>
  </si>
  <si>
    <t>TAG Geranium Tango Dark Red 50/50 Petite Portrait SF FUL</t>
  </si>
  <si>
    <t>TAG Geranium Tango Deep Pink 50/50 Petite Portrait SF FUL</t>
  </si>
  <si>
    <t>TAG Geranium Tango Deep Red 50/50 Petite Portrait SF FUL</t>
  </si>
  <si>
    <t>TAG Geranium Tango Deep Rose With Eye 50/50 Petite Portrait SF FUL</t>
  </si>
  <si>
    <t>TAG Geranium Tango Hot Pink 50/50 Petite Portrait SF FUL</t>
  </si>
  <si>
    <t>TAG Geranium Tango Lavender 50/50 Petite Portrait SF FUL</t>
  </si>
  <si>
    <t>TAG Geranium Tango Neon Purple 50/50 Petite Portrait SF FUL</t>
  </si>
  <si>
    <t>TAG Geranium Tango Orange 50/50 Petite Portrait SF FUL</t>
  </si>
  <si>
    <t>TAG Geranium Tango Pink Ice 50/50 Petite Portrait SF FUL</t>
  </si>
  <si>
    <t>TAG Geranium Tango Rose Splash 50/50 Petite Portrait SF FUL</t>
  </si>
  <si>
    <t>TAG Geranium Tango Salmon 50/50 Petite Portrait SF FUL</t>
  </si>
  <si>
    <t>TAG Geranium Tango Strawberry Ice 50/50 Petite Portrait SF FUL</t>
  </si>
  <si>
    <t>TAG Geranium Tango Velvet Red 50/50 Petite Portrait SF FUL</t>
  </si>
  <si>
    <t>TAG Geranium Tango Violet 50/50 Petite Portrait SF FUL</t>
  </si>
  <si>
    <t>TAG Geranium Tango White 50/50 Petite Portrait SF FUL</t>
  </si>
  <si>
    <t>TAG Geranium Tango White Splash 50/50 Petite Portrait SF FUL</t>
  </si>
  <si>
    <t>TAG Geranium Tornado White 100/100 Pixie Tag SF</t>
  </si>
  <si>
    <t>TAG Geranium Two In One Series 100/100 Pixie Tag</t>
  </si>
  <si>
    <t>TAG Geranium Vancouver Centennial 100/100 Pixie Tag DO</t>
  </si>
  <si>
    <t>TAG Geranium Vancouver Centennial 50/50 Petite Portrait DO FUL</t>
  </si>
  <si>
    <t>TAG Geranium Vegetative Red GENERIC 100/100 Pixie Tag</t>
  </si>
  <si>
    <t>TAG Geranium Vegetative Zonal GENERIC 100/100 Pixie Tag</t>
  </si>
  <si>
    <t>TAG Geranium Vegetative Zonal GENERIC 25/25 Portrait Tag</t>
  </si>
  <si>
    <t>TAG Geranium Ville De Paris Red 50/50 Petite Portrait DO FUL</t>
  </si>
  <si>
    <t>TAG Geranium Ville De Rheinberg Brilliant 50/50 Petite Portrait DO FUL</t>
  </si>
  <si>
    <t>TAG Geranium Vision Violet Sanguineum 25/25 Portrait Tag</t>
  </si>
  <si>
    <t>TAG Geranium Violet Bilingual GENERIC 100/100 Pixie Tag</t>
  </si>
  <si>
    <t>TAG Geranium White Bilingual GENERIC 100/100 Pixie Tag</t>
  </si>
  <si>
    <t>TAG Geranium Wilhelm Langguth 100/100 Pixie Tag DO</t>
  </si>
  <si>
    <t>TAG Geranium Wilhelm Langguth 50/50 Petite Portrait SF FUL</t>
  </si>
  <si>
    <t>TAG Geranium Yellow 100/100 Pixie Tag</t>
  </si>
  <si>
    <t>TAG Geranium Zonal GENERIC 100/100 Hang Tag</t>
  </si>
  <si>
    <t>TAG Geranium Zonal GENERIC 50/50 Petite Portrait DO FUL</t>
  </si>
  <si>
    <t>TAG Gerbera Bengal Mix 100/100 Pixie Tag SF</t>
  </si>
  <si>
    <t>TAG Gerbera Bengal Orange With Eye 100/100 Pixie Tag SF</t>
  </si>
  <si>
    <t>TAG Gerbera Bengal Red With Eye 100/100 Pixie Tag SF</t>
  </si>
  <si>
    <t>TAG Gerbera Bengal Rose With Eye 100/100 Pixie Tag SF</t>
  </si>
  <si>
    <t>TAG Gerbera Bengal White With Eye 100/100 Pixie Tag SF</t>
  </si>
  <si>
    <t>TAG Gerbera Bengal Yellow With Eye 100/100 Pixie Tag SF</t>
  </si>
  <si>
    <t>TAG Gerbera Cartwheel Autumn Colors 100/100 Pixie Tag SF</t>
  </si>
  <si>
    <t>TAG Gerbera Cartwheel Chardonnay 100/100 Pixie Tag SF</t>
  </si>
  <si>
    <t>TAG Gerbera Cartwheel Strawberry Twist 100/100 Pixie Tag SF</t>
  </si>
  <si>
    <t>TAG Gerbera ColorBloom Bicolor Deep Orange With Dark Eye 100/100 Pixie Tag</t>
  </si>
  <si>
    <t>TAG Gerbera ColorBloom Bicolor Orange Yellow 100/100 Pixie Tag</t>
  </si>
  <si>
    <t>TAG Gerbera ColorBloom Bicolor Red White 100/100 Pixie Tag</t>
  </si>
  <si>
    <t>TAG Gerbera ColorBloom Cherry With Light Eye 100/100 Pixie Tag</t>
  </si>
  <si>
    <t>TAG Gerbera ColorBloom Deep Rose With Light Eye 100/100 Pixie Tag</t>
  </si>
  <si>
    <t>TAG Gerbera ColorBloom Mix 100/100 Pixie Tag</t>
  </si>
  <si>
    <t>TAG Gerbera ColorBloom Red With Dark Eye 100/100 Pixie Tag</t>
  </si>
  <si>
    <t>TAG Gerbera ColorBloom Red With Light Eye 100/100 Pixie Tag</t>
  </si>
  <si>
    <t>TAG Gerbera ColorBloom White With Dark Eye 100/100 Pixie Tag</t>
  </si>
  <si>
    <t>TAG Gerbera ColorBloom Watermelon With Dark Eye 100/100 Pixie Tag</t>
  </si>
  <si>
    <t>TAG Gerbera ColorBloom Yellow With Dark Eye 100/100 Pixie Tag</t>
  </si>
  <si>
    <t>TAG Gerbera ColorBloom Yellow With Light Eye 100/100 Pixie Tag</t>
  </si>
  <si>
    <t>TAG Gerbera Daisy Mix GENERIC 100/100 Pixie Tag</t>
  </si>
  <si>
    <t>TAG Gerbera Elephant Scarlet 100/100 Pixie Tag SF</t>
  </si>
  <si>
    <t>TAG Gerbera Festival Growers Select Mix 100/100 Pixie Tag</t>
  </si>
  <si>
    <t>TAG Gerbera Festival Mix 100/100 Pixie Tag</t>
  </si>
  <si>
    <t>TAG Gerbera Festival Series 100/100 Pixie Tag</t>
  </si>
  <si>
    <t>TAG Gerbera Festival Spider Mix 100/100 Pixie Tag</t>
  </si>
  <si>
    <t>TAG Gerbera Flori Line Giant Series 100/100 Pixie Tag</t>
  </si>
  <si>
    <t>TAG Gerbera Flori Line Maxi Series 100/100 Pixie Tag</t>
  </si>
  <si>
    <t>TAG Gerbera Flori Line Midi Red 100/100 Pixie Tag</t>
  </si>
  <si>
    <t>TAG Gerbera Garvinea Sweet Caroline 100/100 Pixie Tag</t>
  </si>
  <si>
    <t>TAG Gerbera Garvinea Sweet Fiesta 100/100 Pixie Tag</t>
  </si>
  <si>
    <t>TAG Gerbera Garvinea Sweet Frosting 100/100 Pixie Tag</t>
  </si>
  <si>
    <t>TAG Gerbera Garvinea Sweet Glow 100/100 Pixie Tag</t>
  </si>
  <si>
    <t>TAG Gerbera Garvinea Sweet Honey 100/100 Pixie Tag</t>
  </si>
  <si>
    <t>TAG Gerbera Garvinea Sweet Love 100/100 Pixie Tag</t>
  </si>
  <si>
    <t>TAG Gerbera Garvinea Sweet Memories 100/100 Pixie Tag</t>
  </si>
  <si>
    <t>TAG Gerbera Garvinea Sweet Series 100/100 Pixie Tag</t>
  </si>
  <si>
    <t>TAG Gerbera Garvinea Sweet Sixteen 100/100 Pixie Tag</t>
  </si>
  <si>
    <t>TAG Gerbera Garvinea Sweet Smile 100/100 Pixie Tag</t>
  </si>
  <si>
    <t>TAG Gerbera Garvinea Sweet Sparkle 100/100 Pixie Tag</t>
  </si>
  <si>
    <t>TAG Gerbera Garvinea Sweet Spice 100/100 Pixie Tag</t>
  </si>
  <si>
    <t>TAG Gerbera Garvinea Sweet Sunset 100/100 Pixie Tag</t>
  </si>
  <si>
    <t>TAG Gerbera Garvinea Sweet Surprise 100/100 Pixie Tag</t>
  </si>
  <si>
    <t>TAG Gerbera Garvinea Sweet Vibe 100/100 Pixie Tag</t>
  </si>
  <si>
    <t>TAG Gerbera GENERIC 25/25 Portrait Tag</t>
  </si>
  <si>
    <t>TAG Gerbera Bilingual GENERIC 100/100 Pixie Tag</t>
  </si>
  <si>
    <t>TAG Gerbera Jaguar Deep Orange 100/100 Pixie Tag SF</t>
  </si>
  <si>
    <t>TAG Gerbera Jaguar Deep Rose 100/100 Pixie Tag SF</t>
  </si>
  <si>
    <t>TAG Gerbera Jaguar Fire 100/100 Pixie Tag SF</t>
  </si>
  <si>
    <t>TAG Gerbera Jaguar Fire Dark Center 100/100 Pixie Tag SF</t>
  </si>
  <si>
    <t>TAG Gerbera Jaguar Mix 100/100 Pixie Tag SF</t>
  </si>
  <si>
    <t>TAG Gerbera Jaguar Pink 100/100 Pixie Tag SF</t>
  </si>
  <si>
    <t>TAG Gerbera Jaguar Red 100/100 Pixie Tag SF</t>
  </si>
  <si>
    <t>TAG Gerbera Jaguar Rose Picotee 100/100 Pixie Tag SF</t>
  </si>
  <si>
    <t>TAG Gerbera Jaguar Rose Dark Center 100/100 Pixie Tag SF</t>
  </si>
  <si>
    <t>TAG Gerbera Jaguar Salsa Mix 100/100 Pixie Tag SF</t>
  </si>
  <si>
    <t>TAG Gerbera Jaguar Scarlet 100/100 Pixie Tag SF</t>
  </si>
  <si>
    <t>TAG Gerbera Jguar Scarlet Shades Dark Center 100/100 Pixie Tag SF</t>
  </si>
  <si>
    <t>TAG Gerbera Jaguar Series 100/100 Pixie Tag SF</t>
  </si>
  <si>
    <t>TAG Gerbera Jaguar Spring Time Mix 100/100 Pixie Tag SF</t>
  </si>
  <si>
    <t>TAG Gerbera Jaguar Tangerine 100/100 Pixie Tag SF</t>
  </si>
  <si>
    <t>TAG Gerbera Jaguar White 100/100 Pixie Tag SF</t>
  </si>
  <si>
    <t>TAG Gerbera Jaguar Yellow 100/100 Pixie Tag SF</t>
  </si>
  <si>
    <t>TAG Gerbera Jaguar Yellow With Dark Eye 100/100 Pixie Tag SF</t>
  </si>
  <si>
    <t>TAG Gerbera Majorette Bright White With Dark Eye 100/100 Pixie Tag</t>
  </si>
  <si>
    <t>TAG Gerbera Majorette Mix 100/100 Pixie Tag</t>
  </si>
  <si>
    <t>TAG Gerbera Majorette Orange With Dark Eye 100/100 Pixie Tag</t>
  </si>
  <si>
    <t>TAG Gerbera Major Orange Yellow Bicolor Dark Eye 100/100 Pixie Tag</t>
  </si>
  <si>
    <t>TAG Gerbera Majorette Pink Halo 100/100 Pixie Tag</t>
  </si>
  <si>
    <t>TAG Gerbera Majorette Red With Dark Eye 100/100 Pixie Tag</t>
  </si>
  <si>
    <t>TAG Gerbera Majorette Sunset Orange 100/100 Pixie Tag</t>
  </si>
  <si>
    <t>TAG Gerbera Majorette Yellow With Dark Eye 100/100 Pixie Tag</t>
  </si>
  <si>
    <t>TAG Gerbera Mini GENERIC 100/100 Pixie Tag</t>
  </si>
  <si>
    <t>TAG Gerbera Patio Parks Series 100/100 Pixie Tag</t>
  </si>
  <si>
    <t>TAG Gerbera Revolution Bicolor Mix 100/100 Pixie Tag</t>
  </si>
  <si>
    <t>TAG Gerbera Revolution Bright Red With Dark Eye 100/100 Pixie Tag</t>
  </si>
  <si>
    <t>TAG Gerbera Revolution Bright Rose With Light Eye 100/100 Pixie Tag</t>
  </si>
  <si>
    <t>TAG Gerbera Revolution Classic Mix 100/100 Pixie Tag</t>
  </si>
  <si>
    <t>TAG Gerbera Revolution Deep Orange With Dark Eye 100/100 Pixie Tag</t>
  </si>
  <si>
    <t>TAG Gerbera Revolution Deep Pink With Light Eye 100/100 Pixie Tag</t>
  </si>
  <si>
    <t>TAG Gerbera Revolution Golden Yellow With Dark Center 100/100 Pixie Tag</t>
  </si>
  <si>
    <t>TAG Gerbera Mega Revolution Bright Orange With Light Eye 100/100 Pixie Tag</t>
  </si>
  <si>
    <t>TAG Gerbera Mega Revolution Rose Bright With Dark Eye 100/100 Pixie Tag</t>
  </si>
  <si>
    <t>TAG Gerbera Mega Revolution Deep Rose With Light Eye 100/100 Pixie Tag</t>
  </si>
  <si>
    <t>TAG Gerbera Revolution Mega Mix 100/100 Pixie Tag</t>
  </si>
  <si>
    <t>TAG Gerbera Mega Revolution Orange With Light Eye 100/100 Pixie Tag</t>
  </si>
  <si>
    <t>TAG Gerbera Revolution Mega Orange Dark Eye 100/100 Pixie Tag</t>
  </si>
  <si>
    <t>TAG Gerbera Mega Revolution Scarlet Red With Light Eye 100/100 Pixie Tag</t>
  </si>
  <si>
    <t>TAG Gerbera Revolution Mega Series 100/100 Pixie Tag</t>
  </si>
  <si>
    <t>TAG Gerbera Mega Revolution Salmon Rose With Light Eye 100/100 Pixie Tag</t>
  </si>
  <si>
    <t>TAG Gerbera Mega Revolution Watermelon 100/100 Pixie Tag</t>
  </si>
  <si>
    <t>TAG Gerbera Mega Revolution White With Light Eye 100/100 Pixie Tag</t>
  </si>
  <si>
    <t>TAG Gerbera Mega Revolution Yellow With Dark Eye 100/100 Pixie Tag</t>
  </si>
  <si>
    <t>TAG Gerbera Revolution Mix 100/100 Pixie Tag</t>
  </si>
  <si>
    <t>TAG Gerbera Revolution Orange Dark Eye 100/100 Pixie Tag</t>
  </si>
  <si>
    <t>TAG Gerbera Revolution Orange With Light Eye 100/100 Pixie Tag</t>
  </si>
  <si>
    <t>TAG Gerbera Revolution Pastel Orange With Dark Center 100/100 Pixie Tag</t>
  </si>
  <si>
    <t>TAG Gerbera Revolution Bicolor Red Lemon 100/100 Pixie Tag</t>
  </si>
  <si>
    <t>TAG Gerbera Revolution Red shades With Dark Center 100/100 Pixie Tag</t>
  </si>
  <si>
    <t>TAG Gerbera Revolution Red With Light Eye 100/100 Pixie Tag</t>
  </si>
  <si>
    <t>TAG Gerbera Revolution Bicolor Red White 100/100 Pixie Tag</t>
  </si>
  <si>
    <t>TAG Gerbera Revolution Bicolor Rose White 100/100 Pixie Tag</t>
  </si>
  <si>
    <t>TAG Gerbera Revolution Scarlet Red With Dark Eye 100/100 Pixie Tag</t>
  </si>
  <si>
    <t>TAG Gerbera Revolution Select Mix 100/100 Pixie Tag</t>
  </si>
  <si>
    <t>TAG Gerbera Revolution Salmon Shades With Light Eye 100/100 Pixie Tag</t>
  </si>
  <si>
    <t>TAG Gerbera Revolution White 100/100 Pixie Tag</t>
  </si>
  <si>
    <t>TAG Gerbera Revolution White With Light Eye 100/100 Pixie Tag</t>
  </si>
  <si>
    <t>TAG Gerbera Revolution Bicolor Yellow Orange 100/100 Pixie Tag</t>
  </si>
  <si>
    <t>TAG Gerbera Revolution Yellow With Dark Center 100/100 Pixie Tag</t>
  </si>
  <si>
    <t>TAG Gerbera Revolution Yellow With Light Eye 100/100 Pixie Tag</t>
  </si>
  <si>
    <t>TAG Gerbera Royal Deep Orange 100/100 Pixie Tag</t>
  </si>
  <si>
    <t>TAG Gerbera Royal Deep Rose 100/100 Pixie Tag</t>
  </si>
  <si>
    <t>TAG Gerbera Royal Golden Yellow 100/100 Pixie Tag</t>
  </si>
  <si>
    <t>TAG Gerbera Royal Mix 100/100 Pixie Tag</t>
  </si>
  <si>
    <t>TAG Gerbera Royal Pastel Pink 100/100 Pixie Tag</t>
  </si>
  <si>
    <t>TAG Gerbera Royal Peach 100/100 Pixie Tag</t>
  </si>
  <si>
    <t>TAG Gerbera Royal Premium Mix 100/100 Pixie Tag</t>
  </si>
  <si>
    <t>TAG Gerbera Royal Red 100/100 Pixie Tag</t>
  </si>
  <si>
    <t>TAG Gerbera Royal Rose 100/100 Pixie Tag</t>
  </si>
  <si>
    <t>TAG Gerbera Royal Yellow 100/100 Pixie Tag</t>
  </si>
  <si>
    <t>TAG Geum Blazing Sunset 100/100 Pixie Tag</t>
  </si>
  <si>
    <t>TAG Geum Blazing Sunset 25/25 Portrait Tag</t>
  </si>
  <si>
    <t>TAG Geum Cooky Coccineum 25/25 Portrait Tag</t>
  </si>
  <si>
    <t>TAG Geum GENERIC 25/25 Portrait Tag</t>
  </si>
  <si>
    <t>TAG Geum Koi Coccineum 25/25 Portrait Tag</t>
  </si>
  <si>
    <t>TAG Geum Lady Stratheden Coccineum 25/25 Portrait Tag</t>
  </si>
  <si>
    <t>TAG Geum Mrs Bradshaw Coccineum 100/100 Pixie Tag</t>
  </si>
  <si>
    <t>TAG Geum Mrs Bradshaw Coccineum 25/25 Portrait Tag</t>
  </si>
  <si>
    <t>TAG Geum Totally Tangerine 25/25 Portrait Tag</t>
  </si>
  <si>
    <t>TAG Gibasis Bridal Veil GENERIC 100/100 Hang Tag</t>
  </si>
  <si>
    <t>TAG Gibasis Bridal Veil GENERIC 100/100 Pixie Tag</t>
  </si>
  <si>
    <t>TAG Glechoma Creeping Charlie 100/100 Pixie Tag</t>
  </si>
  <si>
    <t>TAG Glechoma 50/50 Petite Portrait DO FUL</t>
  </si>
  <si>
    <t>TAG Glechoma Variegata Hederacea 25/25 Portrait Tag</t>
  </si>
  <si>
    <t>TAG Godetia Satin Mix 100/100 Pixie Tag</t>
  </si>
  <si>
    <t>TAG Gomphrena Buddy Mix 100/100 Pixie Tag</t>
  </si>
  <si>
    <t>TAG Gomphrena Buddy Purple 100/100 Pixie Tag</t>
  </si>
  <si>
    <t>TAG Gomphrena Buddy Rose 100/100 Pixie Tag</t>
  </si>
  <si>
    <t>TAG Gomphrena Buddy White 100/100 Pixie Tag</t>
  </si>
  <si>
    <t>TAG Gomphrena Fireworks 100/100 Pixie Tag</t>
  </si>
  <si>
    <t>TAG Gomphrena Gnome Mix 100/100 Pixie Tag</t>
  </si>
  <si>
    <t>TAG Gomphrena Gnome Pink 100/100 Pixie Tag</t>
  </si>
  <si>
    <t>TAG Gomphrena Gnome Purple 100/100 Pixie Tag</t>
  </si>
  <si>
    <t>TAG Gomphrena Gnome White 100/100 Pixie Tag</t>
  </si>
  <si>
    <t>TAG Gomphrena GENERIC 100/100 Pixie Tag</t>
  </si>
  <si>
    <t>TAG Gomphrena Las Vegas Series 100/100 Pixie Tag</t>
  </si>
  <si>
    <t>TAG Gomphrena Mix GENERIC 100/100 Pixie Tag</t>
  </si>
  <si>
    <t>TAG Gomphrena Pinball Purple 100/100 Pixie Tag</t>
  </si>
  <si>
    <t>TAG Gomphrena Pinball Snow Tip Lavender 100/100 Pixie Tag</t>
  </si>
  <si>
    <t>TAG Gomphrena Ping Pong Lavender 100/100 Pixie Tag</t>
  </si>
  <si>
    <t>TAG Gomphrena Ping Pong Mix 100/100 Pixie Tag</t>
  </si>
  <si>
    <t>TAG Gomphrena Ping Pong Purple 100/100 Pixie Tag</t>
  </si>
  <si>
    <t>TAG Gomphrena Ping Pong White 100/100 Pixie Tag</t>
  </si>
  <si>
    <t>TAG Gomphrena Purple GENERIC 100/100 Pixie Tag</t>
  </si>
  <si>
    <t>TAG Gomphrena Strawberry Fields 100/100 Pixie Tag</t>
  </si>
  <si>
    <t>TAG Gomphrena Tall Orange Red GENERIC 100/100 Pixie Tag</t>
  </si>
  <si>
    <t>TAG Gomphrena Tall Purple GENERIC 100/100 Pixie Tag</t>
  </si>
  <si>
    <t>TAG Gourds GENERIC 100/100 Pixie Tag</t>
  </si>
  <si>
    <t>TAG Graptosedum California Sunset 100/100 Pixie Tag</t>
  </si>
  <si>
    <t>TAG Graptosedum Darley Sunshine 100/100 Pixie Tag</t>
  </si>
  <si>
    <t>TAG Graptosedum Vera Higgins 100/100 Pixie Tag</t>
  </si>
  <si>
    <t>TAG Graptoveria Bashful 100/100 Pixie Tag DO FUL</t>
  </si>
  <si>
    <t>TAG Graptoveria Debbie 100/100 Pixie Tag DO FUL</t>
  </si>
  <si>
    <t>TAG Gynura Purple Passion 100/100 Pixie Tag</t>
  </si>
  <si>
    <t>TAG Gypsophelia Alba Repens 25/25 Portrait Tag</t>
  </si>
  <si>
    <t>TAG Gypsophelia Baby's Breath Compact Pink 100/100 Pixie Tag</t>
  </si>
  <si>
    <t>TAG Gypsophelia Baby's Breath Compact White 100/100 Pixie Tag</t>
  </si>
  <si>
    <t>TAG Gypsophelia Double Snowflake Paniculata 25/25 Portrait Tag</t>
  </si>
  <si>
    <t>TAG Gypsophelia Festival White Flare 25/25 Portrait Tag</t>
  </si>
  <si>
    <t>TAG Gypsophelia Filou Rose Repens 25/25 Portrait Tag</t>
  </si>
  <si>
    <t>TAG Gypsophelia Filou White Repens 25/25 Portrait Tag</t>
  </si>
  <si>
    <t>TAG Gypsophelia Gypsy 100/100 Pixie Tag</t>
  </si>
  <si>
    <t>TAG Gypsophelia Gypsy Deep Rose 100/100 Pixie Tag</t>
  </si>
  <si>
    <t>TAG Gypsophelia Gypsy White 100/100 Pixie Tag</t>
  </si>
  <si>
    <t>TAG Gypsophelia Pixie Splash 25/25 Portrait Tag</t>
  </si>
  <si>
    <t>TAG Gypsophila Pretty Maid 25/25 Portrait Tag</t>
  </si>
  <si>
    <t>TAG Gypsophelia Rosea Repens 100/100 Pixie Tag</t>
  </si>
  <si>
    <t>TAG Gypsophelia Snowflake Paniculata 25/25 Portrait Tag</t>
  </si>
  <si>
    <t>TAG Hakonechloa All Gold Macra 25/25 Portrait Tag</t>
  </si>
  <si>
    <t>TAG Hakonechloa Aureola 25/25 Portrait Tag</t>
  </si>
  <si>
    <t>TAG Haworthia Barcelona 100/100 Pixie Tag DO FUL</t>
  </si>
  <si>
    <t>TAG Haworthia Bella 100/100 Pixie Tag DO FUL</t>
  </si>
  <si>
    <t>TAG Haworthia Big Band 100/100 Pixie Tag DO FUL</t>
  </si>
  <si>
    <t>TAG Haworthia Big Band China 100/100 Pixie Tag DO FUL</t>
  </si>
  <si>
    <t>TAG Haworthia Boston 100/100 Pixie Tag DO FUL</t>
  </si>
  <si>
    <t>TAG Haworthia Cape Town 100/100 Pixie Tag DO FUL</t>
  </si>
  <si>
    <t>TAG Haworthia Coarctata 100/100 Pixie Tag DO FUL</t>
  </si>
  <si>
    <t>TAG Haworthia Columbus 100/100 Pixie Tag DO FUL</t>
  </si>
  <si>
    <t>TAG Haworthia Concolor 100/100 Pixie Tag DO FUL</t>
  </si>
  <si>
    <t>TAG Haworthia Cymbiformis 100/100 Pixie Tag DO FUL</t>
  </si>
  <si>
    <t>TAG Haworthia Enon 100/100 Pixie Tag DO FUL</t>
  </si>
  <si>
    <t>TAG Haworthia Fasciata Green 100/100 Pixie Tag DO FUL</t>
  </si>
  <si>
    <t>TAG Haworthia Gigantea 100/100 Pixie Tag DO FUL</t>
  </si>
  <si>
    <t>TAG Haworthia GENERIC 100/100 Pixie Tag</t>
  </si>
  <si>
    <t>TAG Haworthia Herbacea 100/100 Pixie Tag DO FUL</t>
  </si>
  <si>
    <t>TAG Haworthia Jacobseniana 100/100 Pixie Tag DO FUL</t>
  </si>
  <si>
    <t>TAG Haworthia Limifolia 100/100 Pixie Tag DO FUL</t>
  </si>
  <si>
    <t>TAG Haworthia Magnificus 100/100 Pixie Tag DO FUL</t>
  </si>
  <si>
    <t>TAG Haworthia Marginata 100/100 Pixie Tag DO FUL</t>
  </si>
  <si>
    <t>TAG Haworthia Pentagona 100/100 Pixie Tag DO FUL</t>
  </si>
  <si>
    <t>TAG Haworthia Pescara 100/100 Pixie Tag DO FUL</t>
  </si>
  <si>
    <t>TAG Haworthia Retusa 100/100 Pixie Tag DO FUL</t>
  </si>
  <si>
    <t>TAG Haworthia Rome 100/100 Pixie Tag DO FUL</t>
  </si>
  <si>
    <t>TAG Haworthia Royal Albert 100/100 Pixie Tag DO FUL</t>
  </si>
  <si>
    <t>TAG Haworthia Tessellata 100/100 Pixie Tag DO FUL</t>
  </si>
  <si>
    <t>TAG Haworthia Twister 100/100 Pixie Tag DO FUL</t>
  </si>
  <si>
    <t>TAG Haworthia Universe 100/100 Pixie Tag DO FUL</t>
  </si>
  <si>
    <t>TAG Haworthia Zebra 100/100 Pixie Tag DO FUL</t>
  </si>
  <si>
    <t>TAG Hedera Anne Marie 100/100 Pixie Tag</t>
  </si>
  <si>
    <t>TAG Hedera Asterisk 100/100 Pixie Tag</t>
  </si>
  <si>
    <t>TAG Hedera Baltic 100/100 Pixie Tag</t>
  </si>
  <si>
    <t>TAG Hedera Baltica CN5199 100/100 Pixie Tag DO FUL</t>
  </si>
  <si>
    <t>TAG Hedera Californian 100/100 Pixie Tag</t>
  </si>
  <si>
    <t>TAG Hedera Canariensis 100/100 Pixie Tag</t>
  </si>
  <si>
    <t>TAG Hedera Duck Foot 100/100 Pixie Tag</t>
  </si>
  <si>
    <t>TAG Hedera Eva 100/100 Pixie Tag</t>
  </si>
  <si>
    <t>TAG Hedera Fancy California 100/100 Pixie Tag DO FUL</t>
  </si>
  <si>
    <t>TAG Hedera Glacier 100/100 Pixie Tag</t>
  </si>
  <si>
    <t>TAG Hedera Glacier 25/25 Portrait Tag</t>
  </si>
  <si>
    <t>TAG Hedera Glacier 50/50 Petite Portrait DO FUL</t>
  </si>
  <si>
    <t>TAG Hedera Glacier CN5193 100/100 Pixie Tag DO FUL</t>
  </si>
  <si>
    <t>TAG Hedera Gold Child 100/100 Pixie Tag</t>
  </si>
  <si>
    <t>TAG Hedera Gold Child 25/25 Portrait Tag</t>
  </si>
  <si>
    <t>TAG Hedera Gold Child CN5194 100/100 Pixie Tag DO FUL</t>
  </si>
  <si>
    <t>TAG Hedera Golden Ingot 100/100 Pixie Tag</t>
  </si>
  <si>
    <t>TAG Hedera Green English Ivy 100/100 Pixie Tag</t>
  </si>
  <si>
    <t>TAG Hedera Hardy English 25/25 Portrait Tag</t>
  </si>
  <si>
    <t>TAG Hedera Helix English Ivy 100/100 Pixie Tag</t>
  </si>
  <si>
    <t>TAG Hedera Ivy Algerian 100/100 Pixie Tag DO FUL</t>
  </si>
  <si>
    <t>TAG Hedera Ivy Baltic 100/100 Pixie Tag</t>
  </si>
  <si>
    <t>TAG Hedera Ivy Baltic 25/25 Portrait Tag</t>
  </si>
  <si>
    <t>TAG Hedera Ivy Baltic 50/50 Petite Portrait DO FUL</t>
  </si>
  <si>
    <t>TAG Hedera Ivy English 100/100 Pixie Tag DO FUL</t>
  </si>
  <si>
    <t>TAG Hedera Ivy English 50/50 Petite Portrait DO FUL</t>
  </si>
  <si>
    <t>TAG Hedera Ivy GENERIC 100/100 Hang Tag</t>
  </si>
  <si>
    <t>TAG Hedera Ivy GENERIC 100/100 Pixie Tag</t>
  </si>
  <si>
    <t>TAG Hedera Ivy Bilingual GENERIC 100/100 Pixie Tag</t>
  </si>
  <si>
    <t>TAG Hedera Marengo 100/100 Pixie Tag DO FUL</t>
  </si>
  <si>
    <t>TAG Hedera Mint Kolibri 100/100 Pixie Tag</t>
  </si>
  <si>
    <t>TAG Hedera Needlepoint 100/100 Pixie Tag</t>
  </si>
  <si>
    <t>TAG Hedera Needlepoint 100/100 Pixie Tag DO FUL</t>
  </si>
  <si>
    <t>TAG Hedera Ralf 100/100 Pixie Tag</t>
  </si>
  <si>
    <t>TAG Hedera Ripple Yellow 100/100 Pixie Tag DO FUL</t>
  </si>
  <si>
    <t>TAG Hedera Teardrop 100/100 Pixie Tag</t>
  </si>
  <si>
    <t>TAG Hedera Thorndale 100/100 Pixie Tag DO FUL</t>
  </si>
  <si>
    <t>TAG Hedera Thorndale 25/25 Portrait Tag</t>
  </si>
  <si>
    <t>TAG Hedera Variegata 100/100 Pixie Tag</t>
  </si>
  <si>
    <t>TAG Hedera Variegated English Ivy 100/100 Pixie Tag</t>
  </si>
  <si>
    <t>TAG Hedera White Ripple 100/100 Pixie Tag</t>
  </si>
  <si>
    <t>TAG Hedera Yellow Ripple 100/100 Pixie Tag</t>
  </si>
  <si>
    <t>TAG Hedera Yellow Ripple 25/25 Portrait Tag</t>
  </si>
  <si>
    <t>TAG Hedera Yellow Ripple 50/50 Petite Portrait SF FUL</t>
  </si>
  <si>
    <t>TAG Helenium Dakota Gold 25/25 Portrait Tag</t>
  </si>
  <si>
    <t>TAG Helenium Hayday Gold Bicolor 25/25 Portrait Tag SF</t>
  </si>
  <si>
    <t>TAG Helenium Hayday Orange 25/25 Portrait Tag SF</t>
  </si>
  <si>
    <t>TAG Helenium Hayday Red 25/25 Portrait Tag SF</t>
  </si>
  <si>
    <t>TAG Helenium Hayday Red Bicolor 25/25 Portrait Tag SF</t>
  </si>
  <si>
    <t>TAG Helenium Hayday Yellow 25/25 Portrait Tag SF</t>
  </si>
  <si>
    <t>TAG Helenium Helena Mix 25/25 Portrait Tag</t>
  </si>
  <si>
    <t>TAG Helenium Helen's Flower GENERIC 25/25 Portrait Tag</t>
  </si>
  <si>
    <t>TAG Helenium Salud Embers 100/100 Pixie Tag DO FUL</t>
  </si>
  <si>
    <t>TAG Helenium Salud Embers' Autumnale 25/25 Portrait Tag</t>
  </si>
  <si>
    <t>TAG Helenium Salud Golden 100/100 Pixie Tag DO FUL</t>
  </si>
  <si>
    <t>TAG Helenium Salud Golden Autumnale 25/25 Portrait Tag</t>
  </si>
  <si>
    <t>TAG Helenium Salud Yellow 100/100 Pixie Tag DO FUL</t>
  </si>
  <si>
    <t>TAG Helenium Salud Yellow Autumnale 25/25 Portrait Tag</t>
  </si>
  <si>
    <t>TAG Helianthus Sunflower Autumn Beauty 100/100 Pixie Tag</t>
  </si>
  <si>
    <t>TAG Helianthus Sunflower Autumn Gold 25/25 Portrait Tag</t>
  </si>
  <si>
    <t>TAG Helianthus Sunflower Ballad 100/100 Pixie Tag</t>
  </si>
  <si>
    <t>TAG Helianthus Sunflower Ben Fhada 25/25 Portrait Tag</t>
  </si>
  <si>
    <t>TAG Helianthus Sunflower Ben Hope 25/25 Portrait Tag</t>
  </si>
  <si>
    <t>TAG Helianthus Sunflower Ben Ledi 25/25 Portrait Tag</t>
  </si>
  <si>
    <t>TAG Helianthus Sunflower Bert 100/100 Pixie Tag</t>
  </si>
  <si>
    <t>TAG Helianthus Sunflower Big Smile 100/100 Pixie Tag</t>
  </si>
  <si>
    <t>TAG Helianthus Sunflower Branching GENERIC 100/100 Pixie Tag</t>
  </si>
  <si>
    <t>TAG Helianthus Sunflower Bronze Carpet 25/25 Portrait Tag</t>
  </si>
  <si>
    <t>TAG Helianthus Sunflower Cerise Queen 25/25 Portrait Tag</t>
  </si>
  <si>
    <t>TAG Helianthus Sunflower Choco Sun 100/100 Pixie Tag</t>
  </si>
  <si>
    <t>TAG Helianthus Sunflower Dwarf GENERIC 100/100 Pixie Tag</t>
  </si>
  <si>
    <t>TAG Helianthus Sunflower Fire Dragon 25/25 Portrait Tag</t>
  </si>
  <si>
    <t>TAG Helianthus Sunflower Firecracker 100/100 Pixie Tag</t>
  </si>
  <si>
    <t>TAG Helianthus Sunflower Helisol 100/100 Pixie Tag</t>
  </si>
  <si>
    <t>TAG Helianthus Sunflower Henfield Brilliant 25/25 Portrait Tag</t>
  </si>
  <si>
    <t>TAG Helianthus Sunflower Mammoth Russian 100/100 Pixie Tag</t>
  </si>
  <si>
    <t>TAG Helianthus Sunflower Miss Sunshine 100/100 Pixie Tag</t>
  </si>
  <si>
    <t>TAG Helianthus Sunflower Pacino 100/100 Pixie Tag</t>
  </si>
  <si>
    <t>TAG Helianthus Sunflower Pacino Cola 100/100 Pixie Tag</t>
  </si>
  <si>
    <t>TAG Helianthus Sunflower Ring Of Fire 100/100 Pixie Tag</t>
  </si>
  <si>
    <t>TAG Helianthus Sunflower Smiley 100/100 Pixie Tag</t>
  </si>
  <si>
    <t>TAG Helianthus Smiley Gold 100/100 Pixie Tag</t>
  </si>
  <si>
    <t>TAG Helianthus Sol Seeker Bee Yellow 100/100 Pixie Tag</t>
  </si>
  <si>
    <t>TAG Helianthus Sol Seeker Bronze Burst 100/100 Pixie Tag</t>
  </si>
  <si>
    <t>TAG Helianthus Sol Seeker Golden Nectar 100/100 Pixie Tag</t>
  </si>
  <si>
    <t>TAG Helianthus Sol Seeker Honey 100/100 Pixie Tag</t>
  </si>
  <si>
    <t>TAG Helianthus Sunflower Soraya 100/100 Pixie Tag</t>
  </si>
  <si>
    <t>TAG Helianthus Sunflower Sunbelievable Brown Eyed Girl 100/100 Pixie Tag</t>
  </si>
  <si>
    <t>TAG Helianthus Sunflower Sunbuzz 100/100 Pixie Tag</t>
  </si>
  <si>
    <t>TAG Helianthus Sunflower Suncatcher 25/25 Portrait Tag</t>
  </si>
  <si>
    <t>TAG Helianthus Sunfinity 50/50 Petite Portrait SF FUL</t>
  </si>
  <si>
    <t>TAG Helianthus Sunflower Sunfinity Double Yellow 50/50 Pixie Tag SF FUL</t>
  </si>
  <si>
    <t>TAG Helianthus Sunflower Sunfinity Yellow Red Bicolor 25/25 Portrait Tag SF</t>
  </si>
  <si>
    <t>TAG Helianthus Sunflower Sunfinity Yellow Red Bicolor 50/50 Mini Portrait Tag SF</t>
  </si>
  <si>
    <t>TAG Helianthus Sunflower Sunfinity Yellow Dark Center 25/25 Portrait Tag SF</t>
  </si>
  <si>
    <t>TAG Helianthus Sunflower Sunfinity Yellow Dark Center 50/50 Mini Portrait Tag SF</t>
  </si>
  <si>
    <t>TAG Helianthus Sunflower GENERIC 100/100 Pixie Tag</t>
  </si>
  <si>
    <t>TAG Helianthus Sunflower GENERIC 25/25 Portrait Tag</t>
  </si>
  <si>
    <t>TAG Helianthus SunMazing 100/100 Pixie Tag</t>
  </si>
  <si>
    <t>TAG Helianthus Sunflower Sunny Smile 100/100 Pixie Tag</t>
  </si>
  <si>
    <t>TAG Helianthus Sunflower Suntastic Yellow With Black Center 100/100 Pixie Tag</t>
  </si>
  <si>
    <t>TAG Helianthus Sunflower Teddy Bear 100/100 Pixie Tag</t>
  </si>
  <si>
    <t>TAG Helichrysum Curry 100/100 Pixie Tag</t>
  </si>
  <si>
    <t>TAG Helichrysum Dwarf 100/100 Pixie Tag</t>
  </si>
  <si>
    <t>TAG Helichrysum Dwarf 25/25 Portrait Tag</t>
  </si>
  <si>
    <t>TAG Helichrysum Gold Leaf 100/100 Pixie Tag</t>
  </si>
  <si>
    <t>TAG Helichrysum Golden 50/50 Petite Portrait SF FUL</t>
  </si>
  <si>
    <t>TAG Helichrysum Icicles 100/100 Pixie Tag</t>
  </si>
  <si>
    <t>TAG Helichrysum Icicles Licorice 50/50 Petite Portrait DO FUL</t>
  </si>
  <si>
    <t>TAG Helichrysum Icicles Silvery 50/50 Petite Portrait SF FUL</t>
  </si>
  <si>
    <t>TAG Helichrysum Licorice Lemon 100/100 Pixie Tag</t>
  </si>
  <si>
    <t>TAG Helichrysum Licorice Lemon 25/25 Portrait Tag</t>
  </si>
  <si>
    <t>TAG Helichrysum Licorice Plant 100/100 Pixie Tag</t>
  </si>
  <si>
    <t>TAG Helichrysum Licorice Splash 25/25 Portrait Tag</t>
  </si>
  <si>
    <t>TAG Helichrysum Limelight 100/100 Pixie Tag SF</t>
  </si>
  <si>
    <t>TAG Helichrysum Mini Silver 50/50 Petite Portrait SF FUL</t>
  </si>
  <si>
    <t>TAG Helichrysum Minus Micro Nanum 100/100 Pixie Tag</t>
  </si>
  <si>
    <t>TAG Helichrysum Petite 50/50 Petite Portrait DO FUL</t>
  </si>
  <si>
    <t>TAG Helichrysum Petite Licorice 100/100 Pixie Tag</t>
  </si>
  <si>
    <t>TAG Helichrysum Red Jewel 25/25 Portrait Tag</t>
  </si>
  <si>
    <t>TAG Helichrysum Silver 50/50 Petite Portrait SF FUL</t>
  </si>
  <si>
    <t>TAG Helichrysum Silver Leaf 100/100 Pixie Tag</t>
  </si>
  <si>
    <t>TAG Helichrysum Silver Licorice Plant 50/50 Petite Portrait DO FUL</t>
  </si>
  <si>
    <t>TAG Helichrysum Silver Mist 100/100 Pixie Tag</t>
  </si>
  <si>
    <t>TAG Helichrysum Silver Spike 50/50 Petite Portrait DO FUL</t>
  </si>
  <si>
    <t>TAG Helichrysum Silverstar 100/100 Pixie Tag</t>
  </si>
  <si>
    <t>TAG Helichrysum Silverstar 50/50 Petite Portrait DO FUL</t>
  </si>
  <si>
    <t>TAG Helichrysum Tall 25/25 Portrait Tag</t>
  </si>
  <si>
    <t>TAG Helichrysum Variegated 100/100 Pixie Tag</t>
  </si>
  <si>
    <t>TAG Helichrysum White Licorice 25/25 Portrait Tag</t>
  </si>
  <si>
    <t>TAG Helichrysum White Licorice 50/50 Petite Portrait DO FUL</t>
  </si>
  <si>
    <t>TAG Helichrysum White Wonder 100/100 Pixie Tag</t>
  </si>
  <si>
    <t>TAG Helictrichon Sapphire 25/25 Portrait Tag</t>
  </si>
  <si>
    <t>TAG Helictrichon Sempervirens 25/25 Portrait Tag</t>
  </si>
  <si>
    <t>TAG Heliopsis Bleeding Hearts 25/25 Portrait Tag</t>
  </si>
  <si>
    <t>TAG Heliopsis Burning Hearts 25/25 Portrait Tag</t>
  </si>
  <si>
    <t>TAG Heliopsis Double Sunstruck 25/25 Portrait Tag</t>
  </si>
  <si>
    <t>TAG Heliopsis Summer Eclipse 25/25 Portrait Tag</t>
  </si>
  <si>
    <t>TAG Heliopsis Summer Nights 25/25 Portrait Tag</t>
  </si>
  <si>
    <t>TAG Heliopsis Summer Sun 100/100 Pixie Tag</t>
  </si>
  <si>
    <t>TAG Heliopsis Summer Sun 25/25 Portrait Tag</t>
  </si>
  <si>
    <t>TAG Heliopsis Sunstruck 100/100 Pixie Tag DO FUL</t>
  </si>
  <si>
    <t>TAG Heliopsis Sunstruck 25/25 Portrait Tag</t>
  </si>
  <si>
    <t>TAG Heliopsis Sunstruck 50/50 Petite Portrait DO FUL</t>
  </si>
  <si>
    <t>TAG Heliopsis Variegata Oriole 25/25 Portrait Tag</t>
  </si>
  <si>
    <t>TAG Heliotrope Fragrant Delight 100/100 Pixie Tag</t>
  </si>
  <si>
    <t>TAG Heliotrope Fragrant Delight 50/50 Petite Portrait DO FUL</t>
  </si>
  <si>
    <t>TAG Heliotrope GENERIC 100/100 Pixie Tag</t>
  </si>
  <si>
    <t>TAG Heliotrope GENERIC 25/25 Portrait Tag</t>
  </si>
  <si>
    <t>TAG Heliotrope Hinto Amethyst 50/50 Petite Portrait DO FUL</t>
  </si>
  <si>
    <t>TAG Heliotrope Marine 100/100 Pixie Tag</t>
  </si>
  <si>
    <t>TAG Heliotrope Midnight Sky 100/100 Pixie Tag</t>
  </si>
  <si>
    <t>TAG Heliotrope Nagano 100/100 Pixie Tag</t>
  </si>
  <si>
    <t>TAG Heliotrope Scentropia Dark Blue 50/50 Petite Portrait SF FUL</t>
  </si>
  <si>
    <t>TAG Helleborus Grand Teton 25/25 Portrait Tag</t>
  </si>
  <si>
    <t>TAG Helleborus Hollowtop Mount 25/25 Portrait Tag</t>
  </si>
  <si>
    <t>TAG Helleborus Lenten Rose GENERIC 25/25 Portrait Tag</t>
  </si>
  <si>
    <t>TAG Helleborus Mount Nebo 25/25 Portrait Tag</t>
  </si>
  <si>
    <t>TAG Helleborus Pike's Peak 25/25 Portrait Tag</t>
  </si>
  <si>
    <t>TAG Helleborus Royal Heritage 25/25 Portrait Tag</t>
  </si>
  <si>
    <t>TAG Helleborus Snowshoe Mountain 25/25 Portrait Tag</t>
  </si>
  <si>
    <t>TAG Helleborus Table Mountain 25/25 Portrait Tag</t>
  </si>
  <si>
    <t>TAG Helxine Baby's Tears GENERIC 100/100 Pixie Tag</t>
  </si>
  <si>
    <t>TAG Hemerocallis Chicago Apache 25/25 Portrait Tag</t>
  </si>
  <si>
    <t>TAG Hemerocallis Happy Returns 25/25 Portrait Tag</t>
  </si>
  <si>
    <t>TAG Hemerocallis Hyperion 25/25 Portrait Tag</t>
  </si>
  <si>
    <t>TAG Hemerocallis Little Business 25/25 Portrait Tag</t>
  </si>
  <si>
    <t>TAG Hemerocallis Little Grapette 25/25 Portrait Tag</t>
  </si>
  <si>
    <t>TAG Hemerocallis Pandora's Box 25/25 Portrait Tag</t>
  </si>
  <si>
    <t>TAG Hemerocallis Pardon Me 25/25 Portrait Tag</t>
  </si>
  <si>
    <t>TAG Hemerocallis Purple Doro 25/25 Portrait Tag</t>
  </si>
  <si>
    <t>TAG Hemerocallis Stella De Oro 25/25 Portrait Tag</t>
  </si>
  <si>
    <t>TAG Hemigraphis Waffle Plant GENERIC 100/100 Pixie Tag</t>
  </si>
  <si>
    <t>TAG Hemizygia Candy Kisses 100/100 Pixie Tag</t>
  </si>
  <si>
    <t>TAG Aloe HERB GENERIC 100/100 Pixie Tag</t>
  </si>
  <si>
    <t>TAG Herb GENERIC 100/100 Pixie Tag</t>
  </si>
  <si>
    <t>TAG Thyme English 100/100 Pixie Tag DO FUL</t>
  </si>
  <si>
    <t>TAG Heuchera Big Top Caramel Apple 25/25 Portrait Tag</t>
  </si>
  <si>
    <t>TAG Heuchera Black Forest Cake 25/25 Portrait Tag</t>
  </si>
  <si>
    <t>TAG Heuchera Blackout 25/25 Portrait Tag</t>
  </si>
  <si>
    <t>TAG Heuchera Bressingham Hybrids 100/100 Pixie Tag</t>
  </si>
  <si>
    <t>TAG Heuchera Bressingham Hybrids 25/25 Portrait Tag</t>
  </si>
  <si>
    <t>TAG Heuchera Caramel 25/25 Portrait Tag</t>
  </si>
  <si>
    <t>TAG Heuchera Carnival Black Olive 25/25 Portrait Tag</t>
  </si>
  <si>
    <t>TAG Heuchera Carnival Burgundy Blast 25/25 Portrait Tag</t>
  </si>
  <si>
    <t>TAG Heuchera Carnival Cinnamon Stick 25/25 Portrait Tag</t>
  </si>
  <si>
    <t>TAG Heuchera Carnival Cocoa Mint 25/25 Portrait Tag</t>
  </si>
  <si>
    <t>TAG Heuchera Carnival Coffee Bean 25/25 Portrait Tag</t>
  </si>
  <si>
    <t>TAG Heuchera Carnival Fall Festival 25/25 Portrait Tag</t>
  </si>
  <si>
    <t>TAG Heuchera Carnival Limeade 25/25 Portrait Tag</t>
  </si>
  <si>
    <t>TAG Heuchera Carnival Peach Parfait 25/25 Portrait Tag</t>
  </si>
  <si>
    <t>TAG Heuchera Carnival Plum Crazy 25/25 Portrait Tag</t>
  </si>
  <si>
    <t>TAG Heuchera Carnival Rose Granita 25/25 Portrait Tag</t>
  </si>
  <si>
    <t>TAG Heuchera Carnival Watermelon 25/25 Portrait Tag</t>
  </si>
  <si>
    <t>TAG Heuchera Coral Bells GENERIC 100/100 Pixie Tag</t>
  </si>
  <si>
    <t>TAG Heuchera Coral Bells GENERIC 25/25 Portrait Tag</t>
  </si>
  <si>
    <t>TAG Heuchera Coral Forest Sanguinea 25/25 Portrait Tag SF</t>
  </si>
  <si>
    <t>TAG Heuchera Dales Strain Americana 25/25 Portrait Tag</t>
  </si>
  <si>
    <t>TAG Heuchera Dark Secret 25/25 Portrait Tag</t>
  </si>
  <si>
    <t>TAG Heuchera Firefly 25/25 Portrait Tag</t>
  </si>
  <si>
    <t>TAG Heuchera Forever Purple 25/25 Portrait Tag</t>
  </si>
  <si>
    <t>TAG Heuchera Forever Red 25/25 Portrait Tag</t>
  </si>
  <si>
    <t>TAG Heuchera Georgia Peach 25/25 Portrait Tag</t>
  </si>
  <si>
    <t>TAG Heuchera Heureka Series 25/25 Portrait Tag</t>
  </si>
  <si>
    <t>TAG Heuchera Kira Series 25/25 Portrait Tag</t>
  </si>
  <si>
    <t>TAG Heuchera Marmalade 25/25 Portrait Tag</t>
  </si>
  <si>
    <t>TAG Heuchera Marvelous Marble 25/25 Portrait Tag SF</t>
  </si>
  <si>
    <t>TAG Heuchera Marvelous Marble Silver 25/25 Portrait Tag SF</t>
  </si>
  <si>
    <t>TAG Heuchera Mega Caramel 25/25 Portrait Tag</t>
  </si>
  <si>
    <t>TAG Heuchera Melting Fire 25/25 Portrait Tag</t>
  </si>
  <si>
    <t>TAG Heuchera Midnight Rose 25/25 Portrait Tag</t>
  </si>
  <si>
    <t>TAG Heuchera Obsidian 25/25 Portrait Tag</t>
  </si>
  <si>
    <t>TAG Heuchera Palace Purple 100/100 Pixie Tag</t>
  </si>
  <si>
    <t>TAG Heuchera Palace Purple 25/25 Portrait Tag</t>
  </si>
  <si>
    <t>TAG Heuchera Palace Purple Select 25/25 Portrait Tag</t>
  </si>
  <si>
    <t>TAG Heuchera Plum Pudding 25/25 Portrait Tag</t>
  </si>
  <si>
    <t>TAG Heuchera Ruby Bells 25/25 Portrait Tag</t>
  </si>
  <si>
    <t>TAG Heuchera Silver Scrolls 25/25 Portrait Tag</t>
  </si>
  <si>
    <t>TAG Heuchera Splendens 25/25 Portrait Tag</t>
  </si>
  <si>
    <t>TAG Heuchera Steel City 25/25 Portrait Tag</t>
  </si>
  <si>
    <t>TAG Heuchera Summer Haze Dark Pink 25/25 Portrait Tag</t>
  </si>
  <si>
    <t>TAG Heuchera Summer Haze Light Pink 25/25 Portrait Tag</t>
  </si>
  <si>
    <t>TAG Heuchera Summer Haze White 25/25 Portrait Tag</t>
  </si>
  <si>
    <t>TAG Heucherella Alabama Sunrise 25/25 Portrait Tag</t>
  </si>
  <si>
    <t>TAG Heucherella Buttered Rum 25/25 Portrait Tag</t>
  </si>
  <si>
    <t>TAG Heucherella Kirella Autumn Shades 25/25 Portrait Tag</t>
  </si>
  <si>
    <t>TAG Heucherella Kirella Fresh Green 25/25 Portrait Tag</t>
  </si>
  <si>
    <t>TAG Heucherella Sweet Tea 25/25 Portrait Tag</t>
  </si>
  <si>
    <t>TAG Hibiscus Cordial Brandy Punch 25/25 Portrait Tag</t>
  </si>
  <si>
    <t>TAG Hibiscus Cordial Cherry Brandy 25/25 Portrait Tag</t>
  </si>
  <si>
    <t>TAG Hibiscus Cordial Cinnamon Grappa 25/25 Portrait Tag</t>
  </si>
  <si>
    <t>TAG Hibiscus Cordial Peppermint Schnapps 25/25 Portrait Tag</t>
  </si>
  <si>
    <t>TAG Hibiscus Disco Belle Mix 100/100 Pixie Tag</t>
  </si>
  <si>
    <t>TAG Hibiscus Disco Belle Pink 25/25 Portrait Tag</t>
  </si>
  <si>
    <t>TAG Hibiscus Disco Belle Rosy Red 100/100 Pixie Tag</t>
  </si>
  <si>
    <t>TAG Hibiscus GENERIC 100/100 Pixie Tag</t>
  </si>
  <si>
    <t>TAG Hibiscus Honeymoon Deep Red 25/25 Portrait Tag SF</t>
  </si>
  <si>
    <t>TAG Hibiscus Honeymoon Light Rose 25/25 Portrait Tag SF</t>
  </si>
  <si>
    <t>TAG Hibiscus Honeymoon Rose 25/25 Portrait Tag SF</t>
  </si>
  <si>
    <t>TAG Hibiscus Luna Mix 25/25 Portrait Tag</t>
  </si>
  <si>
    <t>TAG Hibiscus Luna Pink Swirl 25/25 Portrait Tag</t>
  </si>
  <si>
    <t>TAG Hibiscus Luna Red 100/100 Pixie Tag</t>
  </si>
  <si>
    <t>TAG Hibiscus Luna Red 25/25 Portrait Tag</t>
  </si>
  <si>
    <t>TAG Hibiscus Luna Rose 25/25 Portrait Tag</t>
  </si>
  <si>
    <t>TAG Hibiscus Luna White 25/25 Portrait Tag</t>
  </si>
  <si>
    <t>TAG Hibiscus Mahogany Splendor 25/25 Portrait Tag</t>
  </si>
  <si>
    <t>TAG Hibiscus Moscheutos GENERIC 25/25 Portrait Tag</t>
  </si>
  <si>
    <t>TAG Homalocladium Homalomena GENERIC 100/100 Pixie Tag</t>
  </si>
  <si>
    <t>TAG Homalocladium Ribbons And Curls 100/100 Pixie Tag</t>
  </si>
  <si>
    <t>TAG Hordeum Ricky 100/100 Pixie Tag</t>
  </si>
  <si>
    <t>TAG Horehound GENERIC 100/100 Pixie Tag</t>
  </si>
  <si>
    <t>TAG Hosta Abiqua Drinking Gourd 25/25 Portrait Tag</t>
  </si>
  <si>
    <t>TAG Hosta Albomarginata Fortunei 25/25 Portrait Tag</t>
  </si>
  <si>
    <t>TAG Hosta Ann Kulpa 25/25 Portrait Tag</t>
  </si>
  <si>
    <t>TAG Hosta August Moon 25/25 Portrait Tag</t>
  </si>
  <si>
    <t>TAG Hosta Aureomarginata Fortunei 25/25 Portrait Tag</t>
  </si>
  <si>
    <t>TAG Hosta Big Daddy 25/25 Portrait Tag</t>
  </si>
  <si>
    <t>TAG Hosta Blazing Saddles 25/25 Portrait Tag</t>
  </si>
  <si>
    <t>TAG Hosta Blue Angel 25/25 Portrait Tag</t>
  </si>
  <si>
    <t>TAG Hosta Blue Cadet 25/25 Portrait Tag</t>
  </si>
  <si>
    <t>TAG Hosta Blue Mouse Ears 25/25 Portrait Tag</t>
  </si>
  <si>
    <t>TAG Hosta Bressingham Blue 25/25 Portrait Tag</t>
  </si>
  <si>
    <t>TAG Hosta Brim Cup 25/25 Portrait Tag</t>
  </si>
  <si>
    <t>TAG Hosta Brother Stefan 25/25 Portrait Tag</t>
  </si>
  <si>
    <t>TAG Hosta Captain Kirk 25/25 Portrait Tag</t>
  </si>
  <si>
    <t>TAG Hosta Christmas Tree 25/25 Portrait Tag</t>
  </si>
  <si>
    <t>TAG Hosta Diana Remembered 25/25 Portrait Tag</t>
  </si>
  <si>
    <t>TAG Hosta Dream Queen 25/25 Portrait Tag</t>
  </si>
  <si>
    <t>TAG Hosta Earth Angel 25/25 Portrait Tag</t>
  </si>
  <si>
    <t>TAG Hosta Elegans Sieboldiana 25/25 Portrait Tag</t>
  </si>
  <si>
    <t>TAG Hosta Fire N Ice 25/25 Portrait Tag</t>
  </si>
  <si>
    <t>TAG Hosta First Frost 25/25 Portrait Tag</t>
  </si>
  <si>
    <t>TAG Hosta Fragrant Blue 25/25 Portrait Tag</t>
  </si>
  <si>
    <t>TAG Hosta Fragrant Bouquet 25/25 Portrait Tag</t>
  </si>
  <si>
    <t>TAG Hosta Francee 25/25 Portrait Tag</t>
  </si>
  <si>
    <t>TAG Hosta Frances Williams 25/25 Portrait Tag</t>
  </si>
  <si>
    <t>TAG Hosta Gator Cup Gold 25/25 Portrait Tag</t>
  </si>
  <si>
    <t>TAG Hosta GENERIC 25/25 Portrait Tag</t>
  </si>
  <si>
    <t>TAG Hosta Gold Standard 25/25 Portrait Tag</t>
  </si>
  <si>
    <t>TAG Hosta Golden Tiara 25/25 Portrait Tag</t>
  </si>
  <si>
    <t>TAG Hosta Great Expectations 25/25 Portrait Tag</t>
  </si>
  <si>
    <t>TAG Hosta Guacamole 25/25 Portrait Tag</t>
  </si>
  <si>
    <t>TAG Hosta Hadspen Blue 25/25 Portrait Tag</t>
  </si>
  <si>
    <t>TAG Hosta Halcyon 25/25 Portrait Tag</t>
  </si>
  <si>
    <t>TAG Hosta Hyacinthina Fortunei 25/25 Portrait Tag</t>
  </si>
  <si>
    <t>TAG Hosta June 25/25 Portrait Tag</t>
  </si>
  <si>
    <t>TAG Hosta Krossa Regal 25/25 Portrait Tag</t>
  </si>
  <si>
    <t>TAG Hosta Minuteman 25/25 Portrait Tag</t>
  </si>
  <si>
    <t>TAG Hosta Night Before Christmas 25/25 Portrait Tag</t>
  </si>
  <si>
    <t>TAG Hosta Old Yeller 25/25 Portrait Tag</t>
  </si>
  <si>
    <t>TAG Hosta Paradigm 25/25 Portrait Tag</t>
  </si>
  <si>
    <t>TAG Hosta Patriot 100/100 Pixie Tag</t>
  </si>
  <si>
    <t>TAG Hosta Patriot 25/25 Portrait Tag</t>
  </si>
  <si>
    <t>TAG Hosta Pauls Glory 25/25 Portrait Tag</t>
  </si>
  <si>
    <t>TAG Hosta Pilgrim 25/25 Portrait Tag</t>
  </si>
  <si>
    <t>TAG Hosta Praying Hands 25/25 Portrait Tag</t>
  </si>
  <si>
    <t>TAG Hosta Queen Josephine 25/25 Portrait Tag</t>
  </si>
  <si>
    <t>TAG Hosta Rainforest Sunrise 25/25 Portrait Tag</t>
  </si>
  <si>
    <t>TAG Hosta Regal Splendor 25/25 Portrait Tag</t>
  </si>
  <si>
    <t>TAG Hosta Royal Standard 25/25 Portrait Tag</t>
  </si>
  <si>
    <t>TAG Hosta So Sweet 25/25 Portrait Tag</t>
  </si>
  <si>
    <t>TAG Hosta Stained Glass 25/25 Portrait Tag</t>
  </si>
  <si>
    <t>TAG Hosta Sum N Substance 25/25 Portrait Tag</t>
  </si>
  <si>
    <t>TAG Hosta Twilight 25/25 Portrait Tag</t>
  </si>
  <si>
    <t>TAG Hosta Undulata Albomarginata 25/25 Portrait Tag</t>
  </si>
  <si>
    <t>TAG Hosta Undulata Mediovariegata 25/25 Portrait Tag</t>
  </si>
  <si>
    <t>TAG Hosta Wide Brim 25/25 Portrait Tag</t>
  </si>
  <si>
    <t>TAG Houttuynia Chameleon Cordata 100/100 Pixie Tag DO FUL</t>
  </si>
  <si>
    <t>TAG Houttuynia Chameleon Cordata 25/25 Portrait Tag</t>
  </si>
  <si>
    <t>TAG Houttuynia Chameleon Cordata 50/50 Petite Portrait DO FUL</t>
  </si>
  <si>
    <t>TAG Hyacinth Bean GENERIC 100/100 Pixie Tag</t>
  </si>
  <si>
    <t>TAG Hyacinth Blue 100/100 Pixie Tag</t>
  </si>
  <si>
    <t>TAG Hyacinth Blue Jacket 100/100 Pixie Tag</t>
  </si>
  <si>
    <t>TAG Hyacinth GENERIC 100/100 Pixie Tag</t>
  </si>
  <si>
    <t>TAG Hyacinth Grape GENERIC 100/100 Pixie Tag</t>
  </si>
  <si>
    <t>TAG Hyacinth Pink 100/100 Pixie Tag</t>
  </si>
  <si>
    <t>TAG Hyacinth Purple 100/100 Pixie Tag</t>
  </si>
  <si>
    <t>TAG Hyacinth Red 100/100 Pixie Tag</t>
  </si>
  <si>
    <t>TAG Hyacinth Ruby Moon 100/100 Pixie Tag</t>
  </si>
  <si>
    <t>TAG Hyacinth White 100/100 Pixie Tag</t>
  </si>
  <si>
    <t>TAG Hydrangea GENERIC 100/100 Pixie Tag</t>
  </si>
  <si>
    <t>TAG Hydrangea GENERIC 25/25 Portrait Tag</t>
  </si>
  <si>
    <t>TAG Hydrangea Hi Crystal 50/50 Petite Portrait SF FUL</t>
  </si>
  <si>
    <t>TAG Hydrangea Hi Fire 50/50 Petite Portrait SF FUL</t>
  </si>
  <si>
    <t>TAG Hydrangea Hi Flame 50/50 Petite Portrait SF FUL</t>
  </si>
  <si>
    <t>TAG Hydrangea Hi Mountain 50/50 Petite Portrait SF FUL</t>
  </si>
  <si>
    <t>TAG Hydrangea Hi River 50/50 Petite Portrait SF FUL</t>
  </si>
  <si>
    <t>TAG Hydrangea Hi Sugar 50/50 Petite Portrait SF FUL</t>
  </si>
  <si>
    <t>TAG Hypericum Calycinum 25/25 Portrait Tag</t>
  </si>
  <si>
    <t>TAG Hypericum Perforatum 100/100 Pixie Tag</t>
  </si>
  <si>
    <t>TAG Hypericum St John's Wort 100/100 Pixie Tag</t>
  </si>
  <si>
    <t>TAG Hypoestes Confetti Mix 100/100 Pixie Tag</t>
  </si>
  <si>
    <t>TAG Hypoestes Confetti Pink 100/100 Pixie Tag</t>
  </si>
  <si>
    <t>TAG Hypoestes Confetti Red 100/100 Pixie Tag</t>
  </si>
  <si>
    <t>TAG Hypoestes Confetti Rose 100/100 Pixie Tag</t>
  </si>
  <si>
    <t>TAG Hypoestes Confetti White 100/100 Pixie Tag</t>
  </si>
  <si>
    <t>TAG Hypoestes Polka Dot Lotty Dotty Series 100/100 Pixie Tag</t>
  </si>
  <si>
    <t>TAG Hypoestes Polka Dot Annual 100/100 Pixie Tag</t>
  </si>
  <si>
    <t>TAG Hypoestes Polka Dot Indoor 100/100 Pixie Tag</t>
  </si>
  <si>
    <t>TAG Hypoestes Splash Select Mix 100/100 Pixie Tag</t>
  </si>
  <si>
    <t>TAG Hypoestes Splash Select Pink 100/100 Pixie Tag</t>
  </si>
  <si>
    <t>TAG Hypoestes Splash Select Red 100/100 Pixie Tag</t>
  </si>
  <si>
    <t>TAG Hypoestes Splash Select Rose 100/100 Pixie Tag</t>
  </si>
  <si>
    <t>TAG Hypoestes Splash Select White 100/100 Pixie Tag</t>
  </si>
  <si>
    <t>TAG Hyssop Blue 25/25 Portrait Tag</t>
  </si>
  <si>
    <t>TAG Hyssop 100/100 Pixie Tag</t>
  </si>
  <si>
    <t>TAG Iberis Alexanders White 50/50 Petite Portrait DO FUL</t>
  </si>
  <si>
    <t>TAG Iberis Arielle Pink 25/25 Portrait Tag</t>
  </si>
  <si>
    <t>TAG Iberis Candy Sorbet 100/100 Pixie Tag DO FUL</t>
  </si>
  <si>
    <t>TAG Iberis Chill Lavender Gibraltarica 25/25 Portrait Tag</t>
  </si>
  <si>
    <t>TAG Iberis First Flush Compact Lilac 25/25 Portrait Tag</t>
  </si>
  <si>
    <t>TAG Iberis First Flush Grace 25/25 Portrait Tag</t>
  </si>
  <si>
    <t>TAG Iberis First Flush Lavender 25/25 Portrait Tag</t>
  </si>
  <si>
    <t>TAG Iberis Little Gem 50/50 Petite Portrait DO FUL</t>
  </si>
  <si>
    <t>TAG Iberis Mermaid Lavender 25/25 Portrait Tag SF</t>
  </si>
  <si>
    <t>TAG Iberis Pink Ice 25/25 Portrait Tag</t>
  </si>
  <si>
    <t>TAG Iberis Purity 100/100 Pixie Tag DO FUL</t>
  </si>
  <si>
    <t>TAG Iberis Purity Sempervirens 25/25 Portrait Tag</t>
  </si>
  <si>
    <t>TAG Iberis Snow Dome 25/25 Portrait Tag</t>
  </si>
  <si>
    <t>TAG Iberis Snow Flurries 25/25 Portrait Tag</t>
  </si>
  <si>
    <t>TAG Iberis Snowcone 50/50 Petite Portrait SF FUL</t>
  </si>
  <si>
    <t>TAG Iberis Snowcone Forte 25/25 Portrait Tag SF</t>
  </si>
  <si>
    <t>TAG Iberis Snowcone Sempervirens 25/25 Portrait Tag SF</t>
  </si>
  <si>
    <t>TAG Iberis Snowdrift 25/25 Portrait Tag</t>
  </si>
  <si>
    <t>TAG Iberis Snowflake 100/100 Pixie Tag DO FUL</t>
  </si>
  <si>
    <t>TAG Iberis Snowflake Sempervirens 25/25 Portrait Tag</t>
  </si>
  <si>
    <t>TAG Iberis Snowsation 25/25 Portrait Tag</t>
  </si>
  <si>
    <t>TAG Iberis Snowsurfer 25/25 Portrait Tag SF</t>
  </si>
  <si>
    <t>TAG Iberis Snowsurfer 50/50 Petite Portrait SF FUL</t>
  </si>
  <si>
    <t>TAG Iberis Snowsurfer Forte 25/25 Portrait Tag SF</t>
  </si>
  <si>
    <t>TAG Iberis Snowsurfer Forte 50/50 Petite Portrait SF FUL</t>
  </si>
  <si>
    <t>TAG Iberis Spruzzo 100/100 Pixie Tag DO FUL</t>
  </si>
  <si>
    <t>TAG Iberis Spruzzo Limited Availability 50/50 Petite Portrait DO FUL</t>
  </si>
  <si>
    <t>TAG Iberis Summer Snowdrift Amara 25/25 Portrait Tag SF</t>
  </si>
  <si>
    <t>TAG Iberis Tahoe Sempervirens 25/25 Portrait Tag SF</t>
  </si>
  <si>
    <t>TAG Iberis Tuff 100/100 Pixie Tag DO FUL</t>
  </si>
  <si>
    <t>TAG Iberis Whistler White 25/25 Portrait Tag SF</t>
  </si>
  <si>
    <t>TAG Iberis White 100/100 Pixie Tag</t>
  </si>
  <si>
    <t>TAG Iberis White Shadow 100/100 Pixie Tag DO FUL</t>
  </si>
  <si>
    <t>TAG Iberis Whiteout Sempervirens 25/25 Portrait Tag</t>
  </si>
  <si>
    <t>TAG Impatiens Accent Bright Eye 100/100 Pixie Tag SF</t>
  </si>
  <si>
    <t>TAG Impatiens Accent Burgundy 100/100 Pixie Tag SF</t>
  </si>
  <si>
    <t>TAG Impatiens Accent Coral 100/100 Pixie Tag SF</t>
  </si>
  <si>
    <t>TAG Impatiens Accent Deep Pink 100/100 Pixie Tag SF</t>
  </si>
  <si>
    <t>TAG Impatiens Accent Lavender Blue 100/100 Pixie Tag SF</t>
  </si>
  <si>
    <t>TAG Impatiens Accent Lilac 100/100 Pixie Tag SF</t>
  </si>
  <si>
    <t>TAG Impatiens Accent Mix 100/100 Pixie Tag SF</t>
  </si>
  <si>
    <t>TAG Impatiens Accent Orange 100/100 Pixie Tag SF</t>
  </si>
  <si>
    <t>TAG Impatiens Accent Orange Star 100/100 Pixie Tag SF</t>
  </si>
  <si>
    <t>TAG Impatiens Accent Pink 100/100 Pixie Tag SF</t>
  </si>
  <si>
    <t>TAG Impatiens Accent Premium Bright Eye 100/100 Pixie Tag SF</t>
  </si>
  <si>
    <t>TAG Impatiens Accent Premium Deep Orange 100/100 Pixie Tag SF</t>
  </si>
  <si>
    <t>TAG Impatiens Accent Premium Lilac 100/100 Pixie Tag SF</t>
  </si>
  <si>
    <t>TAG Impatiens Accent Premium Mix 100/100 Pixie Tag SF</t>
  </si>
  <si>
    <t>TAG Impatiens Accent Premium Mystic Mix 100/100 Pixie Tag SF</t>
  </si>
  <si>
    <t>TAG Impatiens Accent Premium Orange Star 100/100 Pixie Tag SF</t>
  </si>
  <si>
    <t>TAG Impatiens Accent Premium Pastel Mix 100/100 Pixie Tag SF</t>
  </si>
  <si>
    <t>TAG Impatiens Accent Premium Pink 100/100 Pixie Tag SF</t>
  </si>
  <si>
    <t>TAG Impatiens Accent Premium Peppermint Mix 100/100 Pixie Tag SF</t>
  </si>
  <si>
    <t>TAG Impatiens Accent Premium Red 100/100 Pixie Tag SF</t>
  </si>
  <si>
    <t>TAG Impatiens Accent Premium Rose 100/100 Pixie Tag SF</t>
  </si>
  <si>
    <t>TAG Impatiens Accent Premium Salmon 100/100 Pixie Tag SF</t>
  </si>
  <si>
    <t>TAG Impatiens Accent Premium Violet 100/100 Pixie Tag SF</t>
  </si>
  <si>
    <t>TAG Impatiens Accent Premium Violet Star 100/100 Pixie Tag SF</t>
  </si>
  <si>
    <t>TAG Impatiens Accent Premium White 100/100 Pixie Tag SF</t>
  </si>
  <si>
    <t>TAG Impatiens Accent Red 100/100 Pixie Tag SF</t>
  </si>
  <si>
    <t>TAG Impatiens Accent Red Star 100/100 Pixie Tag SF</t>
  </si>
  <si>
    <t>TAG Impatiens Accent Rose 100/100 Pixie Tag SF</t>
  </si>
  <si>
    <t>TAG Impatiens Accent Rose Star 100/100 Pixie Tag SF</t>
  </si>
  <si>
    <t>TAG Impatiens Accent Salmon 100/100 Pixie Tag SF</t>
  </si>
  <si>
    <t>TAG Impatiens Accent Star Mix 100/100 Pixie Tag SF</t>
  </si>
  <si>
    <t>TAG Impatiens Accent Violet 100/100 Pixie Tag SF</t>
  </si>
  <si>
    <t>TAG Impatiens Accent Violet Star 100/100 Pixie Tag SF</t>
  </si>
  <si>
    <t>TAG Impatiens Accent White 100/100 Pixie Tag SF</t>
  </si>
  <si>
    <t>TAG Impatiens Amstel Veronica 50/50 Petite Portrait DO FUL</t>
  </si>
  <si>
    <t>TAG Impatiens Athena Series 100/100 Pixie Tag SF</t>
  </si>
  <si>
    <t>TAG Impatiens Beacon Bright Red 100/100 Pixie Tag</t>
  </si>
  <si>
    <t>TAG Impatiens Beacon Chicago Mix 100/100 Pixie Tag</t>
  </si>
  <si>
    <t>TAG Impatiens Beacon Coral 100/100 Pixie Tag</t>
  </si>
  <si>
    <t>TAG Impatiens Beacon Lindau Mix 100/100 Pixie Tag</t>
  </si>
  <si>
    <t>TAG Impatiens Beacon Lipstick 100/100 Pixie Tag</t>
  </si>
  <si>
    <t>TAG Impatiens Beacon Mix 100/100 Pixie Tag</t>
  </si>
  <si>
    <t>TAG Impatiens Beacon Orange 100/100 Pixie Tag</t>
  </si>
  <si>
    <t>TAG Impatiens Beacon Pearl Island Mix 100/100 Pixie Tag</t>
  </si>
  <si>
    <t>TAG Impatiens Beacon Portland Mix 100/100 Pixie Tag</t>
  </si>
  <si>
    <t>TAG Impatiens Beacon Red 100/100 Pixie Tag</t>
  </si>
  <si>
    <t>TAG Impatiens Beacon Red White Mix 100/100 Pixie Tag</t>
  </si>
  <si>
    <t>TAG Impatiens Beacon Rose 100/100 Pixie Tag</t>
  </si>
  <si>
    <t>TAG Impatiens Beacon Salmon 100/100 Pixie Tag</t>
  </si>
  <si>
    <t>TAG Impatiens Beacon Sanibel Mix 100/100 Pixie Tag</t>
  </si>
  <si>
    <t>TAG Impatiens Beacon Select Mix 100/100 Pixie Tag</t>
  </si>
  <si>
    <t>TAG Impatiens Beacon Violet Shades 100/100 Pixie Tag</t>
  </si>
  <si>
    <t>TAG Impatiens Beacon White 100/100 Pixie Tag</t>
  </si>
  <si>
    <t>TAG Impatiens Blue Bilingual GENERIC 100/100 Pixie Tag</t>
  </si>
  <si>
    <t>TAG Impatiens Bright Eyes Bilingual 100/100 Pixie Tag</t>
  </si>
  <si>
    <t>TAG Impatiens Burgundy Bilingual GENERIC 100/100 Pixie Tag</t>
  </si>
  <si>
    <t>TAG Impatiens Cranberry Bilingual 100/100 Pixie Tag</t>
  </si>
  <si>
    <t>TAG Impatiens Coral Bilingual GENERIC 100/100 Pixie Tag</t>
  </si>
  <si>
    <t>TAG Impatiens Dazzler Mix Baby Shower 100/100 Pixie Tag</t>
  </si>
  <si>
    <t>TAG Impatiens Dazzler Blue Pearl 100/100 Pixie Tag</t>
  </si>
  <si>
    <t>TAG Impatiens Dazzler Bright Eye 100/100 Pixie Tag</t>
  </si>
  <si>
    <t>TAG Impatiens Dazzler Coral 100/100 Pixie Tag</t>
  </si>
  <si>
    <t>TAG Impatiens Dazzler Cranberry 100/100 Pixie Tag</t>
  </si>
  <si>
    <t>TAG Impatiens Dazzler Deep Orange 100/100 Pixie Tag</t>
  </si>
  <si>
    <t>TAG Impatiens Dazzler Lilac Splash 100/100 Pixie Tag</t>
  </si>
  <si>
    <t>TAG Impatiens Dazzler Merlot 100/100 Pixie Tag</t>
  </si>
  <si>
    <t>TAG Impatiens Dazzler Mix 100/100 Pixie Tag</t>
  </si>
  <si>
    <t>TAG Impatiens Dazzler Orange 100/100 Pixie Tag</t>
  </si>
  <si>
    <t>TAG Impatiens Dazzler Passionfruit Mix 100/100 Pixie Tag</t>
  </si>
  <si>
    <t>TAG Impatiens Dazzler Pink 100/100 Pixie Tag</t>
  </si>
  <si>
    <t>TAG Impatiens Dazzler Punch 100/100 Pixie Tag</t>
  </si>
  <si>
    <t>TAG Impatiens Dazzler Red 100/100 Pixie Tag</t>
  </si>
  <si>
    <t>TAG Impatiens Dazzler Rose 100/100 Pixie Tag</t>
  </si>
  <si>
    <t>TAG Impatiens Dazzler Salmon 100/100 Pixie Tag</t>
  </si>
  <si>
    <t>TAG Impatiens Dazzler Salmon Splash 100/100 Pixie Tag</t>
  </si>
  <si>
    <t>TAG Impatiens Dazzler Scarlet 100/100 Pixie Tag</t>
  </si>
  <si>
    <t>TAG Impatiens Dazzler Select Mix 100/100 Pixie Tag</t>
  </si>
  <si>
    <t>TAG Impatiens Dazzler Star Red 100/100 Pixie Tag</t>
  </si>
  <si>
    <t>TAG Impatiens Dazzler Violet 100/100 Pixie Tag</t>
  </si>
  <si>
    <t>TAG Impatiens Dazzler White 100/100 Pixie Tag</t>
  </si>
  <si>
    <t>TAG Impatiens Double Bilingual GENERIC 100/100 Pixie Tag</t>
  </si>
  <si>
    <t>TAG Impatiens Divine Blue Pearl 100/100 Pixie Tag</t>
  </si>
  <si>
    <t>TAG Impatiens Divine Lipstick 100/100 Pixie Tag</t>
  </si>
  <si>
    <t>TAG Impatiens Divine Mix 100/100 Pixie Tag</t>
  </si>
  <si>
    <t>TAG Impatiens Divine Orange 100/100 Pixie Tag</t>
  </si>
  <si>
    <t>TAG Impatiens Divine Red 100/100 Pixie Tag</t>
  </si>
  <si>
    <t>TAG Impatiens Divine Series 100/100 Pixie Tag</t>
  </si>
  <si>
    <t>TAG Impatiens Divine Violet 100/100 Pixie Tag</t>
  </si>
  <si>
    <t>TAG Impatiens Divine White 100/100 Pixie Tag</t>
  </si>
  <si>
    <t>TAG Impatiens Double GENERIC 100/100 Hang Tag</t>
  </si>
  <si>
    <t>TAG Impatiens Double Lavender GENERIC 100/100 Pixie Tag</t>
  </si>
  <si>
    <t>TAG Impatiens Double Orange GENERIC 100/100 Pixie Tag</t>
  </si>
  <si>
    <t>TAG Impatiens Double Pink GENERIC 100/100 Pixie Tag</t>
  </si>
  <si>
    <t>TAG Impatiens Double Purple GENERIC 100/100 Pixie Tag</t>
  </si>
  <si>
    <t>TAG Impatiens Double Red GENERIC 100/100 Pixie Tag</t>
  </si>
  <si>
    <t>TAG Impatiens Double Red And White GENERIC 100/100 Pixie Tag</t>
  </si>
  <si>
    <t>TAG Impatiens Double Rose GENERIC 100/100 Pixie Tag</t>
  </si>
  <si>
    <t>TAG Impatiens Double Salmon GENERIC 100/100 Pixie Tag</t>
  </si>
  <si>
    <t>TAG Impatiens Double White GENERIC 100/100 Pixie Tag</t>
  </si>
  <si>
    <t>TAG Impatiens Super Elfin XP Cherry Splash 100/100 Pixie Tag</t>
  </si>
  <si>
    <t>TAG Impatiens Super Elfin XP Red Starburst 100/100 Pixie Tag</t>
  </si>
  <si>
    <t>TAG Impatiens Super Elfin XP Salmon Splash 100/100 Pixie Tag</t>
  </si>
  <si>
    <t>TAG Impatiens Super Elfin XP Violet Strbrst 100/100 Pixie Tag</t>
  </si>
  <si>
    <t>TAG Impatiens Florific Lavender 100/100 Pixie Tag SF</t>
  </si>
  <si>
    <t>TAG Impatiens Florific Mix 100/100 Pixie Tag SF</t>
  </si>
  <si>
    <t>TAG Impatiens Florific Orange 100/100 Pixie Tag</t>
  </si>
  <si>
    <t>TAG Impatiens Florific Pink 100/100 Pixie Tag</t>
  </si>
  <si>
    <t>TAG Impatiens Florific Red 100/100 Pixie Tag SF</t>
  </si>
  <si>
    <t>TAG Impatiens Florific Sweet Orange 100/100 Pixie Tag SF</t>
  </si>
  <si>
    <t>TAG Impatiens Florific Violet 100/100 Pixie Tag SF</t>
  </si>
  <si>
    <t>TAG Impatiens Florific White 100/100 Pixie Tag SF</t>
  </si>
  <si>
    <t>TAG Impatiens GENERIC 100/100 Hang Tag</t>
  </si>
  <si>
    <t>TAG Impatiens GENERIC 25/25 Portrait Tag</t>
  </si>
  <si>
    <t>TAG Impatiens Bilingual GENERIC 100/100 Pixie Tag</t>
  </si>
  <si>
    <t>TAG Impatiens Harmony Apricot Cream 100/100 Pixie Tag</t>
  </si>
  <si>
    <t>TAG Impatiens Harmony Bicolor Red 100/100 Pixie Tag</t>
  </si>
  <si>
    <t>TAG Impatiens Harmony Blush 100/100 Pixie Tag</t>
  </si>
  <si>
    <t>TAG Impatiens Harmony Bold Red 100/100 Pixie Tag</t>
  </si>
  <si>
    <t>TAG Impatiens Harmony Bubblegum 100/100 Pixie Tag</t>
  </si>
  <si>
    <t>TAG Impatiens Harmony Candy Cream 100/100 Pixie Tag</t>
  </si>
  <si>
    <t>TAG Impatiens Harmony Colorfall Dark Leaf Red 100/100 Pixie Tag</t>
  </si>
  <si>
    <t>TAG Impatiens Harmony Colorfall Fuchsia 100/100 Pixie Tag</t>
  </si>
  <si>
    <t>TAG Impatiens Harmony Colorfall Light Coral 100/100 Pixie Tag</t>
  </si>
  <si>
    <t>TAG Impatiens Harmony Colorfall Neon Red 100/100 Pixie Tag</t>
  </si>
  <si>
    <t>TAG Impatiens Harmony Colorfall Orange 100/100 Pixie Tag</t>
  </si>
  <si>
    <t>TAG Impatiens Harmony Colorfall Passion 100/100 Pixie Tag</t>
  </si>
  <si>
    <t>TAG Impatiens Harmony Colorfall Pink 100/100 Pixie Tag</t>
  </si>
  <si>
    <t>TAG Impatiens Harmony Colorfall White 100/100 Pixie Tag</t>
  </si>
  <si>
    <t>TAG Impatiens Harmony Dark Lavender 100/100 Pixie Tag</t>
  </si>
  <si>
    <t>TAG Impatiens Harmony Dark Lilac 100/100 Pixie Tag</t>
  </si>
  <si>
    <t>TAG Impatiens Harmony Dark Pink 100/100 Pixie Tag</t>
  </si>
  <si>
    <t>TAG Impatiens Harmony Dark Red 100/100 Pixie Tag</t>
  </si>
  <si>
    <t>TAG Impatiens Harmony Dark Violet 100/100 Pixie Tag</t>
  </si>
  <si>
    <t>TAG Impatiens Harmony Deep Red 100/100 Pixie Tag</t>
  </si>
  <si>
    <t>TAG Impatiens Harmony Deep Salmon 100/100 Pixie Tag</t>
  </si>
  <si>
    <t>TAG Impatiens Harmony Fire 100/100 Pixie Tag</t>
  </si>
  <si>
    <t>TAG Impatiens Harmony Fuchsia Cream 100/100 Pixie Tag</t>
  </si>
  <si>
    <t>TAG Impatiens Harmony Magenta 100/100 Pixie Tag</t>
  </si>
  <si>
    <t>TAG Impatiens Harmony Marshmallow Cream 100/100 Pixie Tag</t>
  </si>
  <si>
    <t>TAG Impatiens Harmony Orange Blaze 100/100 Pixie Tag</t>
  </si>
  <si>
    <t>TAG Impatiens Harmony Orange Star 100/100 Pixie Tag</t>
  </si>
  <si>
    <t>TAG Impatiens Harmony Pastel Lavender 100/100 Pixie Tag</t>
  </si>
  <si>
    <t>TAG Impatiens Harmony Perfect Pink 100/100 Pixie Tag</t>
  </si>
  <si>
    <t>TAG Impatiens Harmony Pink Cream 100/100 Pixie Tag</t>
  </si>
  <si>
    <t>TAG Impatiens Harmony Pink Smile 100/100 Pixie Tag</t>
  </si>
  <si>
    <t>TAG Impatiens Harmony Purple Cream 100/100 Pixie Tag</t>
  </si>
  <si>
    <t>TAG Impatiens Harmony Radiance Hot Pink 100/100 Pixie Tag</t>
  </si>
  <si>
    <t>TAG Impatiens Harmony Radiance Lilac 100/100 Pixie Tag</t>
  </si>
  <si>
    <t>TAG Impatiens Harmony Radiance Magenta 100/100 Pixie Tag</t>
  </si>
  <si>
    <t>TAG Impatiens Harmony Radiance Scarlet 100/100 Pixie Tag</t>
  </si>
  <si>
    <t>TAG Impatiens Harmony Raspberry Cream 100/100 Pixie Tag</t>
  </si>
  <si>
    <t>TAG Impatiens Harmony Red Cardinal 100/100 Pixie Tag</t>
  </si>
  <si>
    <t>TAG Impatiens Harmony Salmon Cream 100/100 Pixie Tag</t>
  </si>
  <si>
    <t>TAG Impatiens Harmony Series 100/100 Pixie Tag</t>
  </si>
  <si>
    <t>TAG Impatiens Harmony Snow 100/100 Pixie Tag</t>
  </si>
  <si>
    <t>TAG Impatiens Harmony Sweetheart Rose 100/100 Pixie Tag</t>
  </si>
  <si>
    <t>TAG Impatiens Harmony Tangerine 100/100 Pixie Tag</t>
  </si>
  <si>
    <t>TAG Impatiens Harmony Violet 100/100 Pixie Tag</t>
  </si>
  <si>
    <t>TAG Impatiens Harmony White 100/100 Pixie Tag</t>
  </si>
  <si>
    <t>TAG Impatiens Imara XDR Hot Mix 100/100 Pixie Tag SF</t>
  </si>
  <si>
    <t>TAG Impatiens Imara XDR Mix 100/100 Pixie Tag SF</t>
  </si>
  <si>
    <t>TAG Impatiens Imara XDR Orange Star 100/100 Pixie Tag SF</t>
  </si>
  <si>
    <t>TAG Impatiens Imara XDR Orange 100/100 Pixie Tag SF</t>
  </si>
  <si>
    <t>TAG Impatiens Imara XDR Pastel Mix 100/100 Pixie Tag SF</t>
  </si>
  <si>
    <t>TAG Impatiens Imara XDR Pink 100/100 Pixie Tag SF</t>
  </si>
  <si>
    <t>TAG Impatiens Imara XDR Purple 100/100 Pixie Tag SF</t>
  </si>
  <si>
    <t>TAG Impatiens Imara XDR Red Star 100/100 Pixie Tag SF</t>
  </si>
  <si>
    <t>TAG Impatiens Imara XDR Red 100/100 Pixie Tag SF</t>
  </si>
  <si>
    <t>TAG Impatiens Imara XDR Rose 100/100 Pixie Tag SF</t>
  </si>
  <si>
    <t>TAG Impatiens Imara XDR Rosy Mix 100/100 Pixie Tag SF</t>
  </si>
  <si>
    <t>TAG Impatiens Imara XDR Salmon Shades 100/100 Pixie Tag SF</t>
  </si>
  <si>
    <t>TAG Impatiens Imara XDR Tango Mix 100/100 Pixie Tag SF</t>
  </si>
  <si>
    <t>TAG Impatiens Imara XDR Violet 100/100 Pixie Tag SF</t>
  </si>
  <si>
    <t>TAG Impatiens Imara XDR White 100/100 Pixie Tag SF</t>
  </si>
  <si>
    <t>TAG Impatiens Impreza Blue Pearl 100/100 Pixie Tag</t>
  </si>
  <si>
    <t>TAG Impatiens Impreza Cherry Splash 100/100 Pixie Tag</t>
  </si>
  <si>
    <t>TAG Impatiens Impreza Mix 100/100 Pixie Tag</t>
  </si>
  <si>
    <t>TAG Impatiens Impreza Passion Mix 100/100 Pixie Tag</t>
  </si>
  <si>
    <t>TAG Impatiens Impreza Pink 100/100 Pixie Tag</t>
  </si>
  <si>
    <t>TAG Impatiens Impreza Punch 100/100 Pixie Tag</t>
  </si>
  <si>
    <t>TAG Impatiens Impreza Red 100/100 Pixie Tag</t>
  </si>
  <si>
    <t>TAG Impatiens Impreza Rose 100/100 Pixie Tag</t>
  </si>
  <si>
    <t>TAG Impatiens Impreza Salmon 100/100 Pixie Tag</t>
  </si>
  <si>
    <t>TAG Impatiens Impreza Violet 100/100 Pixie Tag</t>
  </si>
  <si>
    <t>TAG Impatiens Impreza Wedgewood Mix 100/100 Pixie Tag</t>
  </si>
  <si>
    <t>TAG Impatiens Impreza White 100/100 Pixie Tag</t>
  </si>
  <si>
    <t>TAG Impatiens Lavender Bilingual GENERIC 100/100 Pixie Tag</t>
  </si>
  <si>
    <t>TAG Impatiens Lipstick Bilingual 100/100 Pixie Tag</t>
  </si>
  <si>
    <t>TAG Impatiens Lilac Bilingual GENERIC 100/100 Pixie Tag</t>
  </si>
  <si>
    <t>TAG Impatiens Lollipop Series 100/100 Pixie Tag</t>
  </si>
  <si>
    <t>TAG Impatiens Magnum Blue 50/50 Petite Portrait DO FUL</t>
  </si>
  <si>
    <t>TAG Impatiens Magnum Bright Purple 50/50 Petite Portrait DO FUL</t>
  </si>
  <si>
    <t>TAG Impatiens Magnum Clear Pink 50/50 Petite Portrait DO FUL</t>
  </si>
  <si>
    <t>TAG Impatiens Magnum Clear White 50/50 Petite Portrait DO FUL</t>
  </si>
  <si>
    <t>TAG Impatiens Magnum Fire 50/50 Petite Portrait DO FUL</t>
  </si>
  <si>
    <t>TAG Impatiens Magnum Hot Pink 50/50 Petite Portrait DO FUL</t>
  </si>
  <si>
    <t>TAG Impatiens Magnum Lavender 50/50 Petite Portrait DO FUL</t>
  </si>
  <si>
    <t>TAG Impatiens Magnum Lavender Splash 50/50 Petite Portrait DO FUL</t>
  </si>
  <si>
    <t>TAG Impatiens Magnum Light Lavender 50/50 Petite Portrait DO FUL</t>
  </si>
  <si>
    <t>TAG Impatiens Magnum Light Salmon 50/50 Pixie TAG DO FUL</t>
  </si>
  <si>
    <t>TAG Impatiens Magnum Magenta 50/50 Petite Portrait DO FUL</t>
  </si>
  <si>
    <t>TAG Impatiens Magnum Midnight Orchid 50/50 Petite Portrait DO FUL</t>
  </si>
  <si>
    <t>TAG Impatiens Magnum Orange 50/50 Petite Portrait DO FUL</t>
  </si>
  <si>
    <t>TAG Impatiens Magnum Pink 50/50 Petite Portrait DO FUL</t>
  </si>
  <si>
    <t>TAG Impatiens Magnum Purple 50/50 Petite Portrait DO FUL</t>
  </si>
  <si>
    <t>TAG Impatiens Magnum Red 50/50 Petite Portrait DO FUL</t>
  </si>
  <si>
    <t>TAG Impatiens Magnum Red Flame 50/50 Petite Portrait DO FUL</t>
  </si>
  <si>
    <t>TAG Impatiens Magnum Rose Star 50/50 Petite Portrait DO FUL</t>
  </si>
  <si>
    <t>TAG Impatiens Magnum Salmon 50/50 Petite Portrait DO FUL</t>
  </si>
  <si>
    <t>TAG Impatiens Magnum Violet Star 50/50 Pixie TAG DO FUL</t>
  </si>
  <si>
    <t>TAG Impatiens Magnum White 50/50 Petite Portrait DO FUL</t>
  </si>
  <si>
    <t>TAG Impatiens Magnum White Blush 50/50 Petite Portrait DO FUL</t>
  </si>
  <si>
    <t>TAG Impatiens Magnum Wild Salmon 50/50 Petite Portrait DO FUL</t>
  </si>
  <si>
    <t>TAG Impatiens Magnum XL Orange 50/50 Petite Portrait DO FUL</t>
  </si>
  <si>
    <t>TAG Impatiens Magnum XL Salmon 50/50 Petite Portrait DO FUL</t>
  </si>
  <si>
    <t>TAG Impatiens MegaGuinea Orange 50/50 Petite Portrait DO FUL</t>
  </si>
  <si>
    <t>TAG Impatiens MegaGuinea Pink 50/50 Petite Portrait DO FUL</t>
  </si>
  <si>
    <t>TAG Impatiens MegaGuinea Purple 50/50 Petite Portrait DO FUL</t>
  </si>
  <si>
    <t>TAG Impatiens MegaGuinea White Blush 50/50 Petite Portrait DO FUL</t>
  </si>
  <si>
    <t>TAG Impatiens Improved Mix GENERIC 100/100 Pixie Tag</t>
  </si>
  <si>
    <t>TAG Impatiens Musica Bicolor Cherry 100/100 Pixie Tag</t>
  </si>
  <si>
    <t>TAG Impatiens Musica Bicolor Dark Red 100/100 Pixie Tag</t>
  </si>
  <si>
    <t>TAG Impatiens Musica Bicolor Pink 100/100 Pixie Tag</t>
  </si>
  <si>
    <t>TAG Impatiens Musica Electric Purple 100/100 Pixie Tag</t>
  </si>
  <si>
    <t>TAG Impatiens Musica Elegant Red 100/100 Pixie Tag</t>
  </si>
  <si>
    <t>TAG Impatiens Musica Fine Purple 100/100 Pixie Tag</t>
  </si>
  <si>
    <t>TAG Impatiens Musica Lavender 100/100 Pixie Tag</t>
  </si>
  <si>
    <t>TAG Impatiens Musica Orange 100/100 Pixie Tag</t>
  </si>
  <si>
    <t>TAG Impatiens Musica Pink Aroma 100/100 Pixie Tag</t>
  </si>
  <si>
    <t>TAG Impatiens Musica Pure White 100/100 Pixie Tag</t>
  </si>
  <si>
    <t>TAG Impatiens New Guinea GENERIC 100/100 Hang Tag</t>
  </si>
  <si>
    <t>TAG Impatiens New Guinea Bilingual GENERIC 100/100 Pixie Tag</t>
  </si>
  <si>
    <t>TAG Impatiens Improved Orange GENERIC 100/100 Pixie Tag</t>
  </si>
  <si>
    <t>TAG Impatiens Orange Bilingual GENERIC 100/100 Pixie Tag</t>
  </si>
  <si>
    <t>TAG Impatiens Painted Paradise Lilac 100/100 Pixie Tag</t>
  </si>
  <si>
    <t>TAG Impatiens Painted Paradise Lilac 50/50 Petite Portrait DO FUL</t>
  </si>
  <si>
    <t>TAG Impatiens Painted Paradise Orange 100/100 Pixie Tag</t>
  </si>
  <si>
    <t>TAG Impatiens Painted Paradise Orange 50/50 Petite Portrait DO FUL</t>
  </si>
  <si>
    <t>TAG Impatiens Painted Paradise Red 100/100 Pixie Tag</t>
  </si>
  <si>
    <t>TAG Impatiens Painted Paradise Red 50/50 Petite Portrait DO FUL</t>
  </si>
  <si>
    <t>TAG Impatiens Painted Paradise White 100/100 Pixie Tag</t>
  </si>
  <si>
    <t>TAG Impatiens Painted Paradise Wine 100/100 Pixie Tag</t>
  </si>
  <si>
    <t>TAG Impatiens Painted Paradise Wine 50/50 Petite Portrait DO FUL</t>
  </si>
  <si>
    <t>TAG Impatiens Paradise Bicolor Red 100/100 Pixie Tag</t>
  </si>
  <si>
    <t>TAG Impatiens Paradise Blush White 50/50 Petite Portrait DO FUL</t>
  </si>
  <si>
    <t>TAG Impatiens Paradise Bright Pink 100/100 Pixie Tag</t>
  </si>
  <si>
    <t>TAG Impatiens Paradise Bright Red 50/50 Petite Portrait DO FUL</t>
  </si>
  <si>
    <t>TAG Impatiens Paradise Select Cabano White 100/100 Pixie Tag</t>
  </si>
  <si>
    <t>TAG Impatiens Paradise Carmine Red 50/50 Petite Portrait DO FUL</t>
  </si>
  <si>
    <t>TAG Impatiens Paradise Cherry Rose 50/50 Petite Portrait DO FUL</t>
  </si>
  <si>
    <t>TAG Impatiens Paradise Dark Salmon Eye 100/100 Pixie Tag</t>
  </si>
  <si>
    <t>TAG Impatiens Paradise Electirc Orange 100/100 Pixie Tag</t>
  </si>
  <si>
    <t>TAG Impatiens Paradise Electric Orange 50/50 Petite Portrait DO FUL</t>
  </si>
  <si>
    <t>TAG Impatiens Paradise Fuchsia 50/50 Petite Portrait DO FUL</t>
  </si>
  <si>
    <t>TAG Impatiens Paradise Fuchsia Lavender 50/50 Petite Portrait DO FUL</t>
  </si>
  <si>
    <t>TAG Impatiens Paradise Jaco 50/50 Petite Portrait DO FUL</t>
  </si>
  <si>
    <t>TAG Impatiens Paradise Light Lavender 50/50 Petite Portrait DO FUL</t>
  </si>
  <si>
    <t>TAG Impatiens Paradise Light Pink Magenta Eye 100/100 Pixie Tag</t>
  </si>
  <si>
    <t>TAG Impatiens Paradise Select Light Pink 100/100 Pixie Tag</t>
  </si>
  <si>
    <t>TAG Impatiens Paradise Select Light Rose 100/100 Pixie Tag</t>
  </si>
  <si>
    <t>TAG Impatiens Paradise Magenta Pink 50/50 Petite Portrait DO FUL</t>
  </si>
  <si>
    <t>TAG Impatiens Paradise New Red 50/50 Petite Portrait DO FUL</t>
  </si>
  <si>
    <t>TAG Impatiens Paradise Orange White 50/50 Petite Portrait DO FUL</t>
  </si>
  <si>
    <t>TAG Impatiens Paradise Orchid 50/50 Petite Portrait DO FUL</t>
  </si>
  <si>
    <t>TAG Impatiens Paradise Pearl White 50/50 Petite Portrait DO FUL</t>
  </si>
  <si>
    <t>TAG Impatiens Paradise Select Red 100/100 Pixie Tag</t>
  </si>
  <si>
    <t>TAG Impatiens Paradise Rococo Apricot 50/50 Petite Portrait DO FUL</t>
  </si>
  <si>
    <t>TAG Impatiens Paradise Rococo Cherry 50/50 Petite Portrait DO FUL</t>
  </si>
  <si>
    <t>TAG Impatiens Paradise Rococo Orange 50/50 Petite Portrait DO FUL</t>
  </si>
  <si>
    <t>TAG Impatiens Paradise Rococo Pink 50/50 Petite Portrait DO FUL</t>
  </si>
  <si>
    <t>TAG Impatiens Paradise Rococo Purple 50/50 Petite Portrait DO FUL</t>
  </si>
  <si>
    <t>TAG Impatiens Paradise Salmon 50/50 Petite Portrait DO FUL</t>
  </si>
  <si>
    <t>TAG Impatiens Paradise Series 100/100 Pixie Tag</t>
  </si>
  <si>
    <t>TAG Impatiens Paradise Select Salmon 100/100 Pixie Tag</t>
  </si>
  <si>
    <t>TAG Impatiens Paradise Select Violet 100/100 Pixie Tag</t>
  </si>
  <si>
    <t>TAG Impatiens Pastel Mix GENERIC 100/100 Pixie Tag</t>
  </si>
  <si>
    <t>TAG Impatiens Petticoat Aubergine 50/50 Petite Portrait DO FUL</t>
  </si>
  <si>
    <t>TAG Impatiens Petticoat Blue Star 11 50/50 Petite Portrait DO FUL</t>
  </si>
  <si>
    <t>TAG Impatiens Petticoat Cherry Star 50/50 Petite Portrait DO FUL</t>
  </si>
  <si>
    <t>TAG Impatiens Petticoat Cherry Blossom 50/50 Petite Portrait DO FUL</t>
  </si>
  <si>
    <t>TAG Impatiens Petticoat Fire 50/50 Petite Portrait DO FUL</t>
  </si>
  <si>
    <t>TAG Impatiens Petticoat Lavender 50/50 Petite Portrait DO FUL</t>
  </si>
  <si>
    <t>TAG Impatiens Petticoat Lilac 50/50 Petite Portrait DO FUL</t>
  </si>
  <si>
    <t>TAG Impatiens Petticoat Mandarin Star 50/50 Petite Portrait DO FUL</t>
  </si>
  <si>
    <t>TAG Impatiens Petticoat Mango Swirl 50/50 Petite Portrait DO FUL</t>
  </si>
  <si>
    <t>TAG Impatiens Petticoat Neon Night 11 50/50 Petite Portrait DO FUL</t>
  </si>
  <si>
    <t>TAG Impatiens Petticoat Orange Orchid 50/50 Petite Portrait DO FUL</t>
  </si>
  <si>
    <t>TAG Impatiens Petticoat Orange Star 50/50 Petite Portrait DO FUL</t>
  </si>
  <si>
    <t>TAG Impatiens Petticoat Orange Swirl 50/50 Petite Portrait DO FUL</t>
  </si>
  <si>
    <t>TAG Impatiens Petticoat Pink 50/50 Petite Portrait DO FUL</t>
  </si>
  <si>
    <t>TAG Impatiens Petticoat Pink Charme 50/50 Petite Portrait DO FUL</t>
  </si>
  <si>
    <t>TAG Impatiens Petticoat Pink Joy 50/50 Petite Portrait DO FUL</t>
  </si>
  <si>
    <t>TAG Impatiens Petticoat Pink Punch 50/50 Petite Portrait DO FUL</t>
  </si>
  <si>
    <t>TAG Impatiens Petticoat Pink Berry Pie 50/50 Petite Portrait DO FUL</t>
  </si>
  <si>
    <t>TAG Impatiens Petticoat Purple Star 50/50 Petite Portrait DO FUL</t>
  </si>
  <si>
    <t>TAG Impatiens Petticoat Purple Star 23 50/50 Petite Portrait DO FUL</t>
  </si>
  <si>
    <t>TAG Impatiens Petticoat Purple 50/50 Petite Portrait DO FUL</t>
  </si>
  <si>
    <t>TAG Impatiens Petticoat Red 50/50 Petite Portrait DO FUL</t>
  </si>
  <si>
    <t>TAG Impatiens Petticoat Red Flame 50/50 Petite Portrait DO FUL</t>
  </si>
  <si>
    <t>TAG Impatiens Petticoat Red Star 50/50 Petite Portrait DO FUL</t>
  </si>
  <si>
    <t>TAG Impatiens Petticoat Salmon Night 50/50 Petite Portrait DO FUL</t>
  </si>
  <si>
    <t>TAG Impatiens Petticoat True Red 50/50 Petite Portrait DO FUL</t>
  </si>
  <si>
    <t>TAG Impatiens Petticoat Violet Star 50/50 Petite Portrait DO FUL</t>
  </si>
  <si>
    <t>TAG Impatiens Petticoat White 11 50/50 Petite Portrait DO FUL</t>
  </si>
  <si>
    <t>TAG Impatiens Petticoat Wonder White 50/50 Pixie TAG DO FUL</t>
  </si>
  <si>
    <t>TAG Impatiens Improved Pink GENERIC 100/100 Pixie Tag</t>
  </si>
  <si>
    <t>TAG Impatiens Pink Bilingual GENERIC 100/100 Pixie Tag</t>
  </si>
  <si>
    <t>TAG Impatiens Pure Beauty Lavender 50/50 Petite Portrait DO FUL</t>
  </si>
  <si>
    <t>TAG Impatiens Pure Beauty Purple 50/50 Petite Portrait DO FUL</t>
  </si>
  <si>
    <t>TAG Impatiens Pure Beauty Red On Pink 50/50 Petite Portrait DO FUL</t>
  </si>
  <si>
    <t>TAG Impatiens Pure Beauty White 50/50 Petite Portrait DO FUL</t>
  </si>
  <si>
    <t>TAG Impatiens Purple Bilingual GENERIC 100/100 Pixie Tag</t>
  </si>
  <si>
    <t>TAG Impatiens Improved Red GENERIC 100/100 Pixie Tag</t>
  </si>
  <si>
    <t>TAG Impatiens Red Bilingual GENERIC 100/100 Pixie Tag</t>
  </si>
  <si>
    <t>TAG Impatiens Red And White Bilingual GENERIC 100/100 Pixie Tag</t>
  </si>
  <si>
    <t>TAG Impatiens Roller Coaster Dark Coral 50/50 Petite Portrait DO FUL</t>
  </si>
  <si>
    <t>TAG Impatiens Roller Coaster Hot Magenta 50/50 Petite Portrait DO FUL</t>
  </si>
  <si>
    <t>TAG Impatiens Roller Coaster Magenta 50/50 Petite Portrait DO FUL</t>
  </si>
  <si>
    <t>TAG Impatiens Rose Bilingual GENERIC 100/100 Pixie Tag</t>
  </si>
  <si>
    <t>TAG Impatiens Silhouette Appleblossom 50/50 Petite Portrait SF FUL</t>
  </si>
  <si>
    <t>TAG Impatiens Silhouette Cherry Red 50/50 Petite Portrait SF FUL</t>
  </si>
  <si>
    <t>TAG Impatiens Silhouette Purple 50/50 Petite Portrait SF FUL</t>
  </si>
  <si>
    <t>TAG Impatiens Silhouette Red 50/50 Petite Portrait SF FUL</t>
  </si>
  <si>
    <t>TAG Impatiens Silhouette Red Star 50/50 Petite Portrait SF FUL</t>
  </si>
  <si>
    <t>TAG Impatiens Silhouette Rose 50/50 Petite Portrait SF FUL</t>
  </si>
  <si>
    <t>TAG Impatiens Silhouette Rose Star 50/50 Petite Portrait SF FUL</t>
  </si>
  <si>
    <t>TAG Impatiens Silhouette Salmon 50/50 Petite Portrait SF FUL</t>
  </si>
  <si>
    <t>TAG Impatiens Silhouette White 50/50 Petite Portrait SF FUL</t>
  </si>
  <si>
    <t>TAG Impatiens Improved Salmon GENERIC 100/100 Pixie Tag</t>
  </si>
  <si>
    <t>TAG Impatiens Salmon Bilingual GENERIC 100/100 Pixie Tag</t>
  </si>
  <si>
    <t>TAG Impatiens SunStanding Apollo Cherry Red 50/50 Petite Portrait DO FUL</t>
  </si>
  <si>
    <t>TAG Impatiens SunStanding Apollo Lilac 50/50 Petite Portrait DO FUL</t>
  </si>
  <si>
    <t>TAG Impatiens SunStanding Apollo Orange 50/50 Petite Portrait DO FUL</t>
  </si>
  <si>
    <t>TAG Impatiens SunStanding Apollo Pink 50/50 Petite Portrait DO FUL</t>
  </si>
  <si>
    <t>TAG Impatiens SunStanding Apollo Purple 50/50 Petite Portrait DO FUL</t>
  </si>
  <si>
    <t>TAG Impatiens SunStanding Apollo Ruby Red 50/50 Petite Portrait DO FUL</t>
  </si>
  <si>
    <t>TAG Impatiens SunStanding Apollo White Clo 50/50 Petite Portrait DO FUL</t>
  </si>
  <si>
    <t>TAG Impatiens SunStanding Coral Aurora 50/50 Petite Portrait DO FUL</t>
  </si>
  <si>
    <t>TAG Impatiens SunStanding Dark Red 50/50 Petite Portrait DO FUL</t>
  </si>
  <si>
    <t>TAG Impatiens SunStanding Flame Orange 50/50 Petite Portrait DO FUL</t>
  </si>
  <si>
    <t>TAG Impatiens SunStanding Helios Int Pin 50/50 Petite Portrait DO FUL</t>
  </si>
  <si>
    <t>TAG Impatiens SunStanding Helios Orange 50/50 Petite Portrait DO FUL</t>
  </si>
  <si>
    <t>TAG Impatiens SunStanding Helios Rose 50/50 Petite Portrait DO FUL</t>
  </si>
  <si>
    <t>TAG Impatiens SunStanding Helios Salmon Pink 50/50 Petite Portrait DO FUL</t>
  </si>
  <si>
    <t>TAG Impatiens SunStanding Jazzy Coral 50/50 Petite Portrait DO FUL</t>
  </si>
  <si>
    <t>TAG Impatiens SunStanding Jazzy Hot Pink 50/50 Petite Portrait DO FUL</t>
  </si>
  <si>
    <t>TAG Impatiens SunStanding Lavender 50/50 Petite Portrait DO FUL</t>
  </si>
  <si>
    <t>TAG Impatiens SunStanding Light Pink Aurora 50/50 Petite Portrait DO FUL</t>
  </si>
  <si>
    <t>TAG Impatiens SunStanding Magenta 50/50 Petite Portrait DO FUL</t>
  </si>
  <si>
    <t>TAG Impatiens SunStanding Magnt Borealis 50/50 Petite Portrait DO FUL</t>
  </si>
  <si>
    <t>TAG Impatiens SunStanding Neon Red 50/50 Petite Portrait DO FUL</t>
  </si>
  <si>
    <t>TAG Impatiens SunStanding Neon Rose 50/50 Petite Portrait DO FUL</t>
  </si>
  <si>
    <t>TAG Impatiens SunStanding Orange Aurora 50/50 Petite Portrait DO FUL</t>
  </si>
  <si>
    <t>TAG Impatiens SunStanding Purple 50/50 Petite Portrait DO FUL</t>
  </si>
  <si>
    <t>TAG Impatiens SunStanding White Cloud 50/50 Petite Portrait DO FUL</t>
  </si>
  <si>
    <t>TAG Impatiens Sol Luna Blush 100/100 Pixie Tag</t>
  </si>
  <si>
    <t>TAG Impatiens Sol Luna Candy Apple 100/100 Pixie Tag</t>
  </si>
  <si>
    <t>TAG Impatiens Sol Luna Dark Lavender 100/100 Pixie Tag</t>
  </si>
  <si>
    <t>TAG Impatiens Sol Luna Electric Pink 100/100 Pixie Tag</t>
  </si>
  <si>
    <t>TAG Impatiens Sol Luna Lilac 100/100 Pixie Tag</t>
  </si>
  <si>
    <t>TAG Impatiens Sol Luna Orange 100/100 Pixie Tag</t>
  </si>
  <si>
    <t>TAG Impatiens Sol Luna Pink 100/100 Pixie Tag</t>
  </si>
  <si>
    <t>TAG Impatiens Sol Luna Prime Light Salmon 100/100 Pixie Tag</t>
  </si>
  <si>
    <t>TAG Impatiens Sol Luna Prime Orchid 100/100 Pixie Tag</t>
  </si>
  <si>
    <t>TAG Impatiens Sol Luna Prime Peach 100/100 Pixie Tag</t>
  </si>
  <si>
    <t>TAG Impatiens Sol Luna Prime Pearl 100/100 Pixie Tag</t>
  </si>
  <si>
    <t>TAG Impatiens Sol Luna Prime Red 100/100 Pixie Tag</t>
  </si>
  <si>
    <t>TAG Impatiens Sol Luna Prime White 100/100 Pixie Tag</t>
  </si>
  <si>
    <t>TAG Impatiens Sol Luna Red 100/100 Pixie Tag</t>
  </si>
  <si>
    <t>TAG Impatiens Sol Luna Tropical Punch 100/100 Pixie Tag</t>
  </si>
  <si>
    <t>TAG Impatiens Sol Luna Ultra Violet 100/100 Pixie Tag</t>
  </si>
  <si>
    <t>TAG Impatiens Sol Luna White 100/100 Pixie Tag</t>
  </si>
  <si>
    <t>TAG Impatiens Solarscape Magenta Bliss 100/100 Pixie Tag</t>
  </si>
  <si>
    <t>TAG Impatiens Solarscape Neon Purple 100/100 Pixie Tag</t>
  </si>
  <si>
    <t>TAG Impatiens Solarscape Orange Burst 100/100 Pixie Tag</t>
  </si>
  <si>
    <t>TAG Impatiens Solarscape White Pearl 100/100 Pixie Tag</t>
  </si>
  <si>
    <t>TAG Impatiens Solarscape White Shimmer 100/100 Pixie Tag</t>
  </si>
  <si>
    <t>TAG Impatiens Solarscape XL Lilac Spk 100/100 Pixie Tag</t>
  </si>
  <si>
    <t>TAG Impatiens Solarscape XL Pink Jewel 100/100 Pixie Tag</t>
  </si>
  <si>
    <t>TAG Impatiens Solarscape XL Salmon Glow 100/100 Pixie Tag</t>
  </si>
  <si>
    <t>TAG Impatiens Sonic Amethyst 50/50 Petite Portrait SF FUL</t>
  </si>
  <si>
    <t>TAG Impatiens Sonic Bright Pink 50/50 Petite Portrait SF FUL</t>
  </si>
  <si>
    <t>TAG Impatiens Sonic Deep Purple 50/50 Petite Portrait SF FUL</t>
  </si>
  <si>
    <t>TAG Impatiens Sonic Deep Red 50/50 Petite Portrait SF FUL</t>
  </si>
  <si>
    <t>TAG Impatiens Sonic Deep Salmon 50/50 Petite Portrait SF FUL</t>
  </si>
  <si>
    <t>TAG Impatiens Sonic Light Lavender 50/50 Petite Portrait SF FUL</t>
  </si>
  <si>
    <t>TAG Impatiens Sonic Light Pink 50/50 Petite Portrait SF FUL</t>
  </si>
  <si>
    <t>TAG Impatiens Sonic Lilac 50/50 Petite Portrait SF FUL</t>
  </si>
  <si>
    <t>TAG Impatiens Sonic Magic Pink 50/50 Petite Portrait SF FUL</t>
  </si>
  <si>
    <t>TAG Impatiens Sonic Orange 50/50 Petite Portrait SF FUL</t>
  </si>
  <si>
    <t>TAG Impatiens Sonic Pink 50/50 Petite Portrait SF FUL</t>
  </si>
  <si>
    <t>TAG Impatiens Sonic Red 50/50 Petite Portrait SF FUL</t>
  </si>
  <si>
    <t>TAG Impatiens Sonic Salmon 50/50 Petite Portrait SF FUL</t>
  </si>
  <si>
    <t>TAG Impatiens Sonic Sweet Cherry 50/50 Petite Portrait SF FUL</t>
  </si>
  <si>
    <t>TAG Impatiens Sonic Sweet Orange 50/50 Petite Portrait SF FUL</t>
  </si>
  <si>
    <t>TAG Impatiens Sonic Sweet Purple 50/50 Petite Portrait SF FUL</t>
  </si>
  <si>
    <t>TAG Impatiens Sonic Sweet Red 50/50 Petite Portrait SF FUL</t>
  </si>
  <si>
    <t>TAG Impatiens Sonic White New 50/50 Petite Portrait SF FUL</t>
  </si>
  <si>
    <t>TAG Impatiens Spectra Bright Red 50/50 Petite Portrait SF FUL</t>
  </si>
  <si>
    <t>TAG Impatiens Spectra Lavender Shades 50/50 Pixie Tag SF FUL</t>
  </si>
  <si>
    <t>TAG Impatiens Spectra Magenta 50/50 Petite Portrait SF FUL</t>
  </si>
  <si>
    <t>TAG Impatiens Spectra Orange 50/50 Petite Portrait SF FUL</t>
  </si>
  <si>
    <t>TAG Impatiens Spectra Pink 50/50 Petite Portrait SF FUL</t>
  </si>
  <si>
    <t>TAG Impatiens Spectra Pink Bicolor 50/50 Petite Portrait SF FUL</t>
  </si>
  <si>
    <t>TAG Impatiens Spectra White 50/50 Petite Portrait SF FUL</t>
  </si>
  <si>
    <t>TAG Impatiens Strike Orchid 100/100 Pixie Tag</t>
  </si>
  <si>
    <t>TAG Impatiens Strike Plum 100/100 Pixie Tag</t>
  </si>
  <si>
    <t>TAG Impatiens Sun Harmony Blushing Orchid 100/100 Pixie Tag</t>
  </si>
  <si>
    <t>TAG Impatiens Sun Harmony Compact Lavender 100/100 Pixie Tag</t>
  </si>
  <si>
    <t>TAG Impatiens Sun Harmony Deep Orange 100/100 Pixie Tag</t>
  </si>
  <si>
    <t>TAG Impatiens Sun Harmony Deep Pink 100/100 Pixie Tag</t>
  </si>
  <si>
    <t>TAG Impatiens Sun Harmony Magenta 100/100 Pixie Tag</t>
  </si>
  <si>
    <t>TAG Impatiens Sun Harmony Purple 100/100 Pixie Tag</t>
  </si>
  <si>
    <t>TAG Impatiens Sun Harmony Red 100/100 Pixie Tag</t>
  </si>
  <si>
    <t>TAG Impatiens Sun Harmony Violet 100/100 Pixie Tag</t>
  </si>
  <si>
    <t>TAG Impatiens Sun Harmony Vivid Pink 100/100 Pixie Tag</t>
  </si>
  <si>
    <t>TAG Impatiens Sun Harmony White 100/100 Pixie Tag</t>
  </si>
  <si>
    <t>TAG Impatiens Super Elfin XP Blue Pearl 100/100 Pixie Tag</t>
  </si>
  <si>
    <t>TAG Impatiens Super Elfin Bright Orange 100/100 Pixie Tag</t>
  </si>
  <si>
    <t>TAG Impatiens Super Elfin Cha Cha Mix 100/100 Pixie Tag</t>
  </si>
  <si>
    <t>TAG Impatiens Super Elfin XP Coral 100/100 Pixie Tag</t>
  </si>
  <si>
    <t>TAG Impatiens Super Elfin XP Deep Pink 100/100 Pixie Tag</t>
  </si>
  <si>
    <t>TAG Impatiens Super Elfin XP Hot Mix 100/100 Pixie Tag</t>
  </si>
  <si>
    <t>TAG Impatiens Super Elfin Lavender 100/100 Pixie Tag</t>
  </si>
  <si>
    <t>TAG Impatiens Super Elfin XP Lilac 100/100 Pixie Tag</t>
  </si>
  <si>
    <t>TAG Impatiens Super Elfin Lipstick 100/100 Pixie Tag</t>
  </si>
  <si>
    <t>TAG Impatiens Super Elfin XP Mix 100/100 Pixie Tag</t>
  </si>
  <si>
    <t>TAG Impatiens Super Elfin XP Pink 100/100 Pixie Tag</t>
  </si>
  <si>
    <t>TAG Impatiens Super Elfin XP Punch 100/100 Pixie Tag</t>
  </si>
  <si>
    <t>TAG Impatiens Super Elfin XP Red 100/100 Pixie Tag</t>
  </si>
  <si>
    <t>TAG Impatiens Super Elfin XP Rose 100/100 Pixie Tag</t>
  </si>
  <si>
    <t>TAG Impatiens Super Elfin Ruby 100/100 Pixie Tag</t>
  </si>
  <si>
    <t>TAG Impatiens Super Elfin XP Salmon 100/100 Pixie Tag</t>
  </si>
  <si>
    <t>TAG Impatiens Super Elfin XP Scarlet 100/100 Pixie Tag</t>
  </si>
  <si>
    <t>TAG Impatiens Super Elfin Seaside Mix 100/100 Pixie Tag</t>
  </si>
  <si>
    <t>TAG Impatiens Super Elfin XP Series 100/100 Pixie Tag</t>
  </si>
  <si>
    <t>TAG Impatiens Super Elfin XP Violet 100/100 Pixie Tag</t>
  </si>
  <si>
    <t>TAG Impatiens Super Elfin XP White 100/100 Pixie Tag</t>
  </si>
  <si>
    <t>TAG Impatiens Super Elfin Clear Mix 100/100 Pixie Tag</t>
  </si>
  <si>
    <t>TAG Impatiens Super Elfin Paradise Mix 100/100 Pixie Tag</t>
  </si>
  <si>
    <t>TAG Impatiens Super Elfin XP Red White Mix 100/100 Pixie Tag</t>
  </si>
  <si>
    <t>TAG Impatiens Super Sonic Dark Red 50/50 Petite Portrait SF FUL</t>
  </si>
  <si>
    <t>TAG Impatiens Super Sonic Dark Salmon 50/50 Petite Portrait SF FUL</t>
  </si>
  <si>
    <t>TAG Impatiens Super Sonic Deep Salmon 50/50 Petite Portrait SF FUL</t>
  </si>
  <si>
    <t>TAG Impatiens Super Sonic Deep Scarlet 50/50 Petite Portrait SF FUL</t>
  </si>
  <si>
    <t>TAG Impatiens Super Sonic Flame 50/50 Petite Portrait SF FUL</t>
  </si>
  <si>
    <t>TAG Impatiens Super Sonic Hot Pink 50/50 Petite Portrait SF FUL</t>
  </si>
  <si>
    <t>TAG Impatiens Super Sonic Lavender 50/50 Petite Portrait SF FUL</t>
  </si>
  <si>
    <t>TAG Impatiens Super Sonic Lilac 50/50 Petite Portrait SF FUL</t>
  </si>
  <si>
    <t>TAG Impatiens Super Sonic Magenta 50/50 Petite Portrait SF FUL</t>
  </si>
  <si>
    <t>TAG Impatiens Super Sonic Orange Ice 50/50 Petite Portrait SF FUL</t>
  </si>
  <si>
    <t>TAG Impatiens Super Sonic Pastel Pink 50/50 Petite Portrait SF FUL</t>
  </si>
  <si>
    <t>TAG Impatiens Super Sonic Pink 50/50 Petite Portrait SF FUL</t>
  </si>
  <si>
    <t>TAG Impatiens Super Sonic Purple 50/50 Petite Portrait SF FUL</t>
  </si>
  <si>
    <t>TAG Impatiens Super Sonic Red 50/50 Petite Portrait SF FUL</t>
  </si>
  <si>
    <t>TAG Impatiens Super Sonic Sweet Cherry 50/50 Petite Portrait SF FUL</t>
  </si>
  <si>
    <t>TAG Impatiens Super Sonic White 50/50 Petite Portrait SF FUL</t>
  </si>
  <si>
    <t>TAG Impatiens Sweetie Pie Orange 50/50 Petite Portrait DO FUL</t>
  </si>
  <si>
    <t>TAG Impatiens Tamarinda Dark Red 50/50 Petite Portrait DO FUL</t>
  </si>
  <si>
    <t>TAG Impatiens Tamarinda Max Wild Salmon 50/50 Petite Portrait DO FUL</t>
  </si>
  <si>
    <t>TAG Impatiens Tamarinda Red 50/50 Petite Portrait DO FUL</t>
  </si>
  <si>
    <t>TAG Impatiens Tamarinda Red Bicolor 50/50 Petite Portrait DO FUL</t>
  </si>
  <si>
    <t>TAG Impatiens Tamarinda Soft Pink 50/50 Petite Portrait DO FUL</t>
  </si>
  <si>
    <t>TAG Impatiens Tamarinda True Pink 50/50 Petite Portrait DO FUL</t>
  </si>
  <si>
    <t>TAG Impatiens Tamarinda Violet 50/50 Petite Portrait DO FUL</t>
  </si>
  <si>
    <t>TAG Impatiens Tamarinda White 50/50 Petite Portrait DO FUL</t>
  </si>
  <si>
    <t>TAG Impatiens Topknot Mix 100/100 Pixie Tag</t>
  </si>
  <si>
    <t>TAG Impatiens Improved Violet GENERIC 100/100 Pixie Tag</t>
  </si>
  <si>
    <t>TAG Impatiens Violet Bilingual GENERIC 100/100 Pixie Tag</t>
  </si>
  <si>
    <t>TAG Impatiens Violet And White Bilingual GENERIC 100/100 Pixie Tag</t>
  </si>
  <si>
    <t>TAG Impatiens Voodoo Mix 100/100 Pixie Tag</t>
  </si>
  <si>
    <t>TAG Impatiens Voodoo Too Mix 100/100 Pixie Tag</t>
  </si>
  <si>
    <t>TAG Impatiens Improved White GENERIC 100/100 Pixie Tag</t>
  </si>
  <si>
    <t>TAG Impatiens White Bilingual GENERIC 100/100 Pixie Tag</t>
  </si>
  <si>
    <t>TAG Impatiens Wild Romance Blush 50/50 Petite Portrait DO FUL</t>
  </si>
  <si>
    <t>TAG Impatiens Wild Romance Hot Rose 50/50 Petite Portrait DO FUL</t>
  </si>
  <si>
    <t>TAG Impatiens Wild Romance Jazzy Blue Rose 50/50 Petite Portrait DO FUL</t>
  </si>
  <si>
    <t>TAG Impatiens Wild Romance Lavender 50/50 Petite Portrait DO FUL</t>
  </si>
  <si>
    <t>TAG Impatiens Wild Romance Orange 50/50 Pixie TAG DO FUL</t>
  </si>
  <si>
    <t>TAG Impatiens Wild Romance Peach 50/50 Petite Portrait DO FUL</t>
  </si>
  <si>
    <t>TAG Impatiens Wild Romance Pink 50/50 Petite Portrait DO FUL</t>
  </si>
  <si>
    <t>TAG Impatiens Wild Romance Red 50/50 Petite Portrait DO FUL</t>
  </si>
  <si>
    <t>TAG Impatiens Wild Romance White 50/50 Petite Portrait DO FUL</t>
  </si>
  <si>
    <t>TAG Impatiens Xtreme Bright Eye 100/100 Pixie Tag SF</t>
  </si>
  <si>
    <t>TAG Impatiens Xtreme Bright Rose 100/100 Pixie Tag SF</t>
  </si>
  <si>
    <t>TAG Impatiens Xtreme Hot Mix 100/100 Pixie Tag SF</t>
  </si>
  <si>
    <t>TAG Impatiens Xtreme Lavender 100/100 Pixie Tag SF</t>
  </si>
  <si>
    <t>TAG Impatiens Xtreme Lilac 100/100 Pixie Tag SF</t>
  </si>
  <si>
    <t>TAG Impatiens Xtreme Little Gem Mix 100/100 Pixie Tag SF</t>
  </si>
  <si>
    <t>TAG Impatiens Xtreme Mix 100/100 Pixie Tag SF</t>
  </si>
  <si>
    <t>TAG Impatiens Xtreme Orange 100/100 Pixie Tag SF</t>
  </si>
  <si>
    <t>TAG Impatiens Xtreme Pastel Mix 100/100 Pixie Tag SF</t>
  </si>
  <si>
    <t>TAG Impatiens Xtreme Pink 100/100 Pixie Tag SF</t>
  </si>
  <si>
    <t>TAG Impatiens Xtreme Red 100/100 Pixie Tag SF</t>
  </si>
  <si>
    <t>TAG Impatiens Xtreme Rose 100/100 Pixie Tag SF</t>
  </si>
  <si>
    <t>TAG Impatiens Xtreme Rosy Mix 100/100 Pixie Tag SF</t>
  </si>
  <si>
    <t>TAG Impatiens Xtreme Salmon 100/100 Pixie Tag SF</t>
  </si>
  <si>
    <t>TAG Impatiens Xtreme Sapphire Mix 100/100 Pixie Tag SF</t>
  </si>
  <si>
    <t>TAG Impatiens Xtreme Scarlet 100/100 Pixie Tag SF</t>
  </si>
  <si>
    <t>TAG Impatiens Xtreme Tango Mix 100/100 Pixie Tag SF</t>
  </si>
  <si>
    <t>TAG Impatiens Xtreme Utopia Mix 100/100 Pixie Tag SF</t>
  </si>
  <si>
    <t>TAG Impatiens Xtreme Violet 100/100 Pixie Tag SF</t>
  </si>
  <si>
    <t>TAG Impatiens Xtreme White 100/100 Pixie Tag SF</t>
  </si>
  <si>
    <t>TAG Imperata Red Baron 25/25 Portrait Tag</t>
  </si>
  <si>
    <t>TAG Ipomoea Ace Of Spades 100/100 Pixie Tag</t>
  </si>
  <si>
    <t>TAG Ipomoea Beauregard 100/100 Pixie Tag</t>
  </si>
  <si>
    <t>TAG Ipomoea Black Heart 50/50 Petite Portrait SF FUL</t>
  </si>
  <si>
    <t>TAG Ipomoea Blackie 100/100 Pixie Tag</t>
  </si>
  <si>
    <t>TAG Ipomoea Blackie 25/25 Portrait Tag</t>
  </si>
  <si>
    <t>TAG Ipomoea Blackie 50/50 Petite Portrait DO FUL</t>
  </si>
  <si>
    <t>TAG Ipomoea Bonita 100/100 Pixie Tag</t>
  </si>
  <si>
    <t>TAG Ipomoea Bright Ideas Black 100/100 Pixie Tag</t>
  </si>
  <si>
    <t>TAG Ipomoea Bright Ideas Black Cordate 100/100 Pixie Tag</t>
  </si>
  <si>
    <t>TAG Ipomoea Bright Ideas Lime 100/100 Pixie Tag</t>
  </si>
  <si>
    <t>TAG Ipomoea Bright Ideas Lime Cordate 100/100 Pixie Tag</t>
  </si>
  <si>
    <t>TAG Ipomoea Bright Ideas Rusty Red 100/100 Pixie Tag</t>
  </si>
  <si>
    <t>TAG Ipomoea Bright Idea Rusty Red Cordate 100/100 Pixie Tag</t>
  </si>
  <si>
    <t>TAG Ipomoea Bright Ideas Black 50/50 Petite Portrait DO FUL</t>
  </si>
  <si>
    <t>TAG Ipomoea Bright Ideas Cordate Black 50/50 Petite Portrait DO FUL</t>
  </si>
  <si>
    <t>TAG Ipomoea Bright Ideas Cordate Lime 50/50 Petite Portrait DO FUL</t>
  </si>
  <si>
    <t>TAG Ipomoea Bright Ideas Cordate Rusty 50/50 Petite Portrait DO FUL</t>
  </si>
  <si>
    <t>TAG Ipomoea Bright Ideas Lime 50/50 Petite Portrait DO FUL</t>
  </si>
  <si>
    <t>TAG Ipomoea Bright Ideas Rusty Red 50/50 Petite Portrait DO FUL</t>
  </si>
  <si>
    <t>TAG Ipomoea Cameo Elegance 100/100 Pixie Tag</t>
  </si>
  <si>
    <t>TAG Ipomoea Cardinalis 100/100 Pixie Tag</t>
  </si>
  <si>
    <t>TAG Ipomoea Crimson Rambler 100/100 Pixie Tag</t>
  </si>
  <si>
    <t>TAG Ipomoea Cypress Vine GENERIC 100/100 Pixie Tag</t>
  </si>
  <si>
    <t>TAG Ipomoea Dark Leaf GENERIC 100/100 Pixie Tag</t>
  </si>
  <si>
    <t>TAG Ipomoea FloraMia Black 50/50 Petite Portrait DO FUL</t>
  </si>
  <si>
    <t>TAG Ipomoea FloraMia Cameo 50/50 Petite Portrait DO FUL</t>
  </si>
  <si>
    <t>TAG Ipomoea FloraMia Limon 50/50 Petite Portrait DO FUL</t>
  </si>
  <si>
    <t>TAG Ipomoea FloraMia Limon Wedge 50/50 Petite Portrait DO FUL</t>
  </si>
  <si>
    <t>TAG Ipomoea FloraMia Nero 50/50 Petite Portrait DO FUL</t>
  </si>
  <si>
    <t>TAG Ipomoea FloraMia Rosso 50/50 Petite Portrait DO FUL</t>
  </si>
  <si>
    <t>TAG Ipomoea FloraMia Verdino 50/50 Petite Portrait DO FUL</t>
  </si>
  <si>
    <t>TAG Ipomoea Georgia Jets 100/100 Pixie Tag</t>
  </si>
  <si>
    <t>TAG Ipomoea Golden GENERIC 100/100 Pixie Tag</t>
  </si>
  <si>
    <t>TAG Ipomoea GENERIC 100/100 Hang Tag</t>
  </si>
  <si>
    <t>TAG Ipomoea Good Morning Blue 100/100 Pixie Tag</t>
  </si>
  <si>
    <t>TAG Ipomoea Grandpa Ott 100/100 Pixie Tag</t>
  </si>
  <si>
    <t>TAG Ipomoea Happy Hour Rose 100/100 Pixie Tag</t>
  </si>
  <si>
    <t>TAG Ipomoea Heavenly Blue 100/100 Pixie Tag</t>
  </si>
  <si>
    <t>TAG Ipomoea Kelly Ray 100/100 Pixie Tag</t>
  </si>
  <si>
    <t>TAG Ipomoea Lime 100/100 Pixie Tag</t>
  </si>
  <si>
    <t>TAG Ipomoea Little Blackie 100/100 Pixie Tag</t>
  </si>
  <si>
    <t>TAG Ipomoea Marguerite 100/100 Pixie Tag</t>
  </si>
  <si>
    <t>TAG Ipomoea Marguerite 25/25 Portrait Tag</t>
  </si>
  <si>
    <t>TAG Ipomoea Marguerite 50/50 Petite Portrait DO FUL</t>
  </si>
  <si>
    <t>TAG Ipomoea Marguerite Dwarf 100/100 Pixie Tag</t>
  </si>
  <si>
    <t>TAG Ipomoea Moonflower GENERIC 100/100 Pixie Tag</t>
  </si>
  <si>
    <t>TAG Ipomoea Morning Glory GENERIC 100/100 Pixie Tag</t>
  </si>
  <si>
    <t>TAG Ipomoea Pearly Gates 100/100 Pixie Tag</t>
  </si>
  <si>
    <t>TAG Ipomoea Scarlet O'Hara 100/100 Pixie Tag</t>
  </si>
  <si>
    <t>TAG Ipomoea Sidekick Black 50/50 Petite Portrait SF FUL</t>
  </si>
  <si>
    <t>TAG Ipomoea Sidekick Heart Black 50/50 Petite Portrait SF FUL</t>
  </si>
  <si>
    <t>TAG Ipomoea Sidekick Heart Bronze 50/50 Petite Portrait SF FUL</t>
  </si>
  <si>
    <t>TAG Ipomoea Sidekick Heart Lime 50/50 Petite Portrait SF FUL</t>
  </si>
  <si>
    <t>TAG Ipomoea Sidekick Lime 50/50 Petite Portrait SF FUL</t>
  </si>
  <si>
    <t>TAG Ipomoea Sunrise Serenade 100/100 Pixie Tag</t>
  </si>
  <si>
    <t>TAG Ipomoea Sweet Georgia Black Maple 100/100 Pixie Tag</t>
  </si>
  <si>
    <t>TAG Ipomoea Sweet Georgia Bronze 100/100 Pixie Tag</t>
  </si>
  <si>
    <t>TAG Ipomoea Sweet Georgia Deep Purple 100/100 Pixie Tag</t>
  </si>
  <si>
    <t>TAG Ipomoea Sweet Georgia Fine Burgundy 100/100 Pixie Tag</t>
  </si>
  <si>
    <t>TAG Ipomoea Sweet Georgia Fine Lime 100/100 Pixie Tag</t>
  </si>
  <si>
    <t>TAG Ipomoea Sweet Georgia Green Splash 100/100 Pixie Tag</t>
  </si>
  <si>
    <t>TAG Ipomoea Sweet Georgia Hrt Chestnt 100/100 Pixie Tag</t>
  </si>
  <si>
    <t>TAG Ipomoea Sweet Georgia Heart Light Green 100/100 Pixie Tag</t>
  </si>
  <si>
    <t>TAG Ipomoea Sweet Georgia Heart Purple 100/100 Pixie Tag</t>
  </si>
  <si>
    <t>TAG Ipomoea Sweet Georgia Heart Red 100/100 Pixie Tag</t>
  </si>
  <si>
    <t>TAG Ipomoea Sweet Georgia Light Green 100/100 Pixie Tag</t>
  </si>
  <si>
    <t>TAG Ipomoea Sweet Georgia Pulse Black 100/100 Pixie Tag</t>
  </si>
  <si>
    <t>TAG Ipomoea Sweet Georgia Purple Splash 100/100 Pixie Tag</t>
  </si>
  <si>
    <t>TAG Ipomoea Sweet Potato GENERIC 100/100 Pixie Tag</t>
  </si>
  <si>
    <t>TAG Ipomoea Tricolor 100/100 Pixie Tag DO</t>
  </si>
  <si>
    <t>TAG Ipomoea Tricolor 25/25 Portrait Tag DO</t>
  </si>
  <si>
    <t>TAG Ipomoea Tricolor 50/50 Petite Portrait DO FUL</t>
  </si>
  <si>
    <t>TAG Ipomoea Vine Bilingual GENERIC 100/100 Pixie Tag</t>
  </si>
  <si>
    <t>TAG Iresine Blazin Rose 50/50 Petite Portrait DO FUL</t>
  </si>
  <si>
    <t>TAG Iresine Brilliantissima 100/100 Pixie Tag</t>
  </si>
  <si>
    <t>TAG Iresine Cherry 100/100 Pixie Tag</t>
  </si>
  <si>
    <t>TAG Iresine Chicken Gizzard 25/25 Portrait Tag</t>
  </si>
  <si>
    <t>TAG Iresine Purple Lady 100/100 Pixie Tag</t>
  </si>
  <si>
    <t>TAG Iresine Red 100/100 Pixie Tag</t>
  </si>
  <si>
    <t>TAG Iresine Red Heart 100/100 Pixie Tag</t>
  </si>
  <si>
    <t>TAG Iresine Variegated Heart 100/100 Pixie Tag</t>
  </si>
  <si>
    <t>TAG Iris Argentea Variegata 25/25 Portrait Tag</t>
  </si>
  <si>
    <t>TAG Iris Butter N Sugar 25/25 Portrait Tag</t>
  </si>
  <si>
    <t>TAG Iris Caesar's Brother 25/25 Portrait Tag</t>
  </si>
  <si>
    <t>TAG Iris Crested GENERIC 25/25 Portrait Tag</t>
  </si>
  <si>
    <t>TAG Iris German GENERIC 25/25 Portrait Tag</t>
  </si>
  <si>
    <t>TAG Iris Japanese GENERIC 25/25 Portrait Tag</t>
  </si>
  <si>
    <t>TAG Iris Variegata 25/25 Portrait Tag</t>
  </si>
  <si>
    <t>TAG Live Wire Fiber Optic 100/100 Pixie Tag</t>
  </si>
  <si>
    <t>TAG Isolepis Fiber Optic 100/100 Pixie Tag</t>
  </si>
  <si>
    <t>TAG Isolepis Fiber Optic 25/25 Portrait Tag</t>
  </si>
  <si>
    <t>TAG Isotoma/Laurentia Fizz N Pop Glowing Violet 50/50 Petite Portrait DO FUL</t>
  </si>
  <si>
    <t>TAG Isotoma/Laurentia Fizz N Pop Pretty In Pink 50/50 Petite Portrait DO FUL</t>
  </si>
  <si>
    <t>TAG Jasmine Polyanthum 100/100 Pixie Tag</t>
  </si>
  <si>
    <t>TAG Juncus Blue Arrows 100/100 Pixie Tag</t>
  </si>
  <si>
    <t>TAG Juncus Blue Arrows 25/25 Portrait Tag</t>
  </si>
  <si>
    <t>TAG Juncus Blue Dart 25/25 Portrait Tag</t>
  </si>
  <si>
    <t>TAG Juncus Javelin 25/25 Portrait Tag</t>
  </si>
  <si>
    <t>TAG Juncus Spiralis Effusus 100/100 Pixie Tag</t>
  </si>
  <si>
    <t>TAG Juncus Starhead 25/25 Portrait Tag</t>
  </si>
  <si>
    <t>TAG Juncus Twisted Arrows Mix 25/25 Portrait Tag</t>
  </si>
  <si>
    <t>TAG Juncus Twisted Dart Mix 25/25 Portrait Tag</t>
  </si>
  <si>
    <t>TAG Juncus Twister Inflexus 25/25 Portrait Tag</t>
  </si>
  <si>
    <t>TAG Justicia Brandegeana 100/100 Pixie Tag</t>
  </si>
  <si>
    <t>TAG Justicia Pachystachys Lutea 100/100 Pixie Tag</t>
  </si>
  <si>
    <t>TAG Kalanchoe Archer 100/100 Pixie Tag DO FUL</t>
  </si>
  <si>
    <t>TAG Kalanchoe Grandiva Auger 100/100 Pixie Tag DO FUL</t>
  </si>
  <si>
    <t>TAG Kalanchoe Berkley 100/100 Pixie Tag DO FUL</t>
  </si>
  <si>
    <t>TAG Kalanchoe Birkin 100/100 Pixie Tag DO FUL</t>
  </si>
  <si>
    <t>TAG Kalanchoe Bromo 100/100 Pixie Tag DO FUL</t>
  </si>
  <si>
    <t>TAG Kalanchoe Calandiva Bella 100/100 Pixie Tag DO FUL</t>
  </si>
  <si>
    <t>TAG Kalanchoe Calandiva Design 100/100 Pixie Tag DO FUL</t>
  </si>
  <si>
    <t>TAG Kalanchoe Calandiva Foxy Fuerte 100/100 Pixie Tag DO FUL</t>
  </si>
  <si>
    <t>TAG Kalanchoe Calandiva Joie 100/100 Pixie Tag DO FUL</t>
  </si>
  <si>
    <t>TAG Kalanchoe Calandiva Lovely 100/100 Pixie Tag DO FUL</t>
  </si>
  <si>
    <t>TAG Kalanchoe Calandiva Radiant 100/100 Pixie Tag DO FUL</t>
  </si>
  <si>
    <t>TAG Kalanchoe Calandiva Volare 100/100 Pixie Tag DO FUL</t>
  </si>
  <si>
    <t>TAG Kalanchoe Calanday Calor Bartan 100/100 Pixie Tag DO FUL</t>
  </si>
  <si>
    <t>TAG Kalanchoe Calanday Calor Casitas 100/100 Pixie Tag DO FUL</t>
  </si>
  <si>
    <t>TAG Kalanchoe Calanday Calor Kamba 100/100 Pixie Tag DO FUL</t>
  </si>
  <si>
    <t>TAG Kalanchoe Calanday Calor Ubinas 100/100 Pixie Tag DO FUL</t>
  </si>
  <si>
    <t>TAG Kalanchoe Calanday Classy 100/100 Pixie Tag DO FUL</t>
  </si>
  <si>
    <t>TAG Kalanchoe Calanday Fiery 100/100 Pixie Tag DO FUL</t>
  </si>
  <si>
    <t>TAG Kalanchoe Calanday Kimono 100/100 Pixie Tag DO FUL</t>
  </si>
  <si>
    <t>TAG Kalanchoe Calanday Luxury 100/100 Pixie Tag DO FUL</t>
  </si>
  <si>
    <t>TAG Kalanchoe Calanday Sublime Couture 100/100 Pixie Tag DO FUL</t>
  </si>
  <si>
    <t>TAG Kalanchoe Calanday Sublime Flair 100/100 Pixie Tag DO FUL</t>
  </si>
  <si>
    <t>TAG Kalanchoe Calanday Sublime Gloss 100/100 Pixie Tag DO FUL</t>
  </si>
  <si>
    <t>TAG Kalanchoe Calanday Sublime Swirl Bossa 100/100 Pixie Tag DO FUL</t>
  </si>
  <si>
    <t>TAG Kalanchoe Calanday Sublime Swirl Nova 100/100 Pixie Tag DO FUL</t>
  </si>
  <si>
    <t>TAG Kalanchoe Calandiva Adkins 100/100 Pixie Tag DO FUL</t>
  </si>
  <si>
    <t>TAG Kalanchoe Calandiva Deco Garland 100/100 Pixie Tag DO FUL</t>
  </si>
  <si>
    <t>TAG Kalanchoe Calandiva Deco Summer 100/100 Pixie Tag DO FUL</t>
  </si>
  <si>
    <t>TAG Kalanchoe Calandiva Electra 100/100 Pixie Tag DO FUL</t>
  </si>
  <si>
    <t>TAG Kalanchoe Calandiva Florilis 100/100 Pixie Tag DO FUL</t>
  </si>
  <si>
    <t>TAG Kalanchoe Calandiva Kelton 100/100 Pixie Tag DO FUL</t>
  </si>
  <si>
    <t>TAG Kalanchoe Calandiva Menzel 100/100 Pixie Tag DO FUL</t>
  </si>
  <si>
    <t>TAG Kalanchoe Calandiva Turner 100/100 Pixie Tag DO FUL</t>
  </si>
  <si>
    <t>TAG Kalanchoe Calor Fabulous Fanta 100/100 Pixie Tag DO FUL</t>
  </si>
  <si>
    <t>TAG Kalanchoe Cher Decorative 100/100 Pixie Tag DO FUL</t>
  </si>
  <si>
    <t>TAG Kalanchoe Chocolate Soldier 100/100 Pixie Tag DO FUL</t>
  </si>
  <si>
    <t>TAG Kalanchoe Citrine 100/100 Pixie Tag DO FUL</t>
  </si>
  <si>
    <t>TAG Kalanchoe Coto 100/100 Pixie Tag DO FUL</t>
  </si>
  <si>
    <t>TAG Kalanchoe Dendi 100/100 Pixie Tag DO FUL</t>
  </si>
  <si>
    <t>TAG Kalanchoe Discodip 100/100 Pixie Tag DO FUL</t>
  </si>
  <si>
    <t>TAG Kalanchoe Fang Felt Plant 100/100 Pixie Tag</t>
  </si>
  <si>
    <t>TAG Kalanchoe Felt Plant 100/100 Pixie Tag</t>
  </si>
  <si>
    <t>TAG Kalanchoe Fiesta 100/100 Pixie Tag DO FUL</t>
  </si>
  <si>
    <t>TAG Kalanchoe Flamingo 100/100 Pixie Tag DO FUL</t>
  </si>
  <si>
    <t>TAG Kalanchoe Flap Jack Plant 100/100 Pixie Tag</t>
  </si>
  <si>
    <t>TAG Kalanchoe Flor 100/100 Pixie Tag DO FUL</t>
  </si>
  <si>
    <t>TAG Kalanchoe Fox 100/100 Pixie Tag DO FUL</t>
  </si>
  <si>
    <t>TAG Kalanchoe Fuego 100/100 Pixie Tag DO FUL</t>
  </si>
  <si>
    <t>TAG Kalanchoe Garbo 100/100 Pixie Tag DO FUL</t>
  </si>
  <si>
    <t>TAG Kalanchoe GENERIC 100/100 Pixie Tag</t>
  </si>
  <si>
    <t>TAG Kalanchoe GENERIC LK0212 100/100 Pixie Tag</t>
  </si>
  <si>
    <t>TAG Kalanchoe Hawn 100/100 Pixie Tag DO FUL</t>
  </si>
  <si>
    <t>TAG Kalanchoe Hekla 100/100 Pixie Tag DO FUL</t>
  </si>
  <si>
    <t>TAG Kalanchoe Jamaica 100/100 Pixie Tag DO FUL</t>
  </si>
  <si>
    <t>TAG Kalanchoe Kerinci 100/100 Pixie Tag DO FUL</t>
  </si>
  <si>
    <t>TAG Kalanchoe Keruna 100/100 Pixie Tag DO FUL</t>
  </si>
  <si>
    <t>TAG Kalanchoe Kikai 100/100 Pixie Tag DO FUL</t>
  </si>
  <si>
    <t>TAG Kalanchoe La Douce 100/100 Pixie Tag DO FUL</t>
  </si>
  <si>
    <t>TAG Kalanchoe Lanin 100/100 Pixie Tag DO FUL</t>
  </si>
  <si>
    <t>TAG Kalanchoe Lascar 100/100 Pixie Tag DO FUL</t>
  </si>
  <si>
    <t>TAG Kalanchoe Leaping Dolphins 100/100 Pixie Tag DO FUL</t>
  </si>
  <si>
    <t>TAG Kalanchoe Leonardo 100/100 Pixie Tag DO FUL</t>
  </si>
  <si>
    <t>TAG Kalanchoe Lican 100/100 Pixie Tag DO FUL</t>
  </si>
  <si>
    <t>TAG Kalanchoe Loy 100/100 Pixie Tag DO FUL</t>
  </si>
  <si>
    <t>TAG Kalanchoe Mere 100/100 Pixie Tag DO FUL</t>
  </si>
  <si>
    <t>TAG Kalanchoe Midi Sunkissed Pink 100/100 Pixie Tag DO FUL</t>
  </si>
  <si>
    <t>TAG Kalanchoe Mikeno 100/100 Pixie Tag DO FUL</t>
  </si>
  <si>
    <t>TAG Kalanchoe Milos 100/100 Pixie Tag DO FUL</t>
  </si>
  <si>
    <t>TAG Kalanchoe Morne 100/100 Pixie Tag DO FUL</t>
  </si>
  <si>
    <t>TAG Kalanchoe Newton 100/100 Pixie Tag DO FUL</t>
  </si>
  <si>
    <t>TAG Kalanchoe Nigrum 100/100 Pixie Tag DO FUL</t>
  </si>
  <si>
    <t>TAG Kalanchoe Nolin 100/100 Pixie Tag DO FUL</t>
  </si>
  <si>
    <t>TAG Kalanchoe Opala 100/100 Pixie Tag DO FUL</t>
  </si>
  <si>
    <t>TAG Kalanchoe Orgyalis 100/100 Pixie Tag DO FUL</t>
  </si>
  <si>
    <t>TAG Kalanchoe Panda Plant Tomentosa 100/100 Pixie Tag</t>
  </si>
  <si>
    <t>TAG Kalanchoe Partridge 100/100 Pixie Tag DO FUL</t>
  </si>
  <si>
    <t>TAG Kalanchoe Paso 100/100 Pixie Tag DO FUL</t>
  </si>
  <si>
    <t>TAG Kalanchoe Petero 100/100 Pixie Tag DO FUL</t>
  </si>
  <si>
    <t>TAG Kalanchoe Pilas 100/100 Pixie Tag DO FUL</t>
  </si>
  <si>
    <t>TAG Kalanchoe Polar Bear 100/100 Pixie Tag DO FUL</t>
  </si>
  <si>
    <t>TAG Kalanchoe Raja 100/100 Pixie Tag DO FUL</t>
  </si>
  <si>
    <t>TAG Kalanchoe Rio 100/100 Pixie Tag DO FUL</t>
  </si>
  <si>
    <t>TAG Kalanchoe Rubio 100/100 Pixie Tag DO FUL</t>
  </si>
  <si>
    <t>TAG Kalanchoe Rudak 100/100 Pixie Tag DO FUL</t>
  </si>
  <si>
    <t>TAG Kalanchoe Saja 100/100 Pixie Tag DO FUL</t>
  </si>
  <si>
    <t>TAG Kalanchoe Silver Strand 100/100 Pixie Tag DO FUL</t>
  </si>
  <si>
    <t>TAG Kalanchoe Soldana 100/100 Pixie Tag DO FUL</t>
  </si>
  <si>
    <t>TAG Kalanchoe Tenorio 100/100 Pixie Tag DO FUL</t>
  </si>
  <si>
    <t>TAG Kalanchoe Theron 100/100 Pixie Tag DO FUL</t>
  </si>
  <si>
    <t>TAG Kalanchoe Thyrsiflora 100/100 Pixie Tag DO FUL</t>
  </si>
  <si>
    <t>TAG Kalanchoe Tomas 100/100 Pixie Tag DO FUL</t>
  </si>
  <si>
    <t>TAG Kalanchoe Tombo 100/100 Pixie Tag DO FUL</t>
  </si>
  <si>
    <t>TAG Kalanchoe Tomentosa 100/100 Pixie Tag DO FUL</t>
  </si>
  <si>
    <t>TAG Kalanchoe Tweed 100/100 Pixie Tag DO FUL</t>
  </si>
  <si>
    <t>TAG Kalanchoe Tylo 100/100 Pixie Tag DO FUL</t>
  </si>
  <si>
    <t>TAG Kalanchoe Villosa 100/100 Pixie Tag DO FUL</t>
  </si>
  <si>
    <t>TAG Kalanchoe Weaver 100/100 Pixie Tag DO FUL</t>
  </si>
  <si>
    <t>TAG Kalanchoe Welch 100/100 Pixie Tag DO FUL</t>
  </si>
  <si>
    <t>TAG Kalanchoe Wevano 100/100 Pixie Tag DO FUL</t>
  </si>
  <si>
    <t>TAG Kalanchoe Whites 100/100 Pixie Tag DO FUL</t>
  </si>
  <si>
    <t>TAG Kalanchoe Wilis 100/100 Pixie Tag DO FUL</t>
  </si>
  <si>
    <t>TAG Kalanchoe York 100/100 Pixie Tag DO FUL</t>
  </si>
  <si>
    <t>TAG Kalanchoe Zeta 100/100 Pixie Tag DO FUL</t>
  </si>
  <si>
    <t>TAG Kale Blue Curled Scotch 100/100 Pixie Tag</t>
  </si>
  <si>
    <t>TAG Ornamental Kale Chidori Red 100/100 Pixie Tag</t>
  </si>
  <si>
    <t>TAG Ornamental Kale Chidori White 100/100 Pixie Tag</t>
  </si>
  <si>
    <t>TAG Ornamental Kale Color Up Mix 100/100 Pixie Tag</t>
  </si>
  <si>
    <t>TAG Ornamental Kale Color Up Purple 100/100 Pixie Tag</t>
  </si>
  <si>
    <t>TAG Ornamental Kale Color Up Red 100/100 Pixie Tag</t>
  </si>
  <si>
    <t>TAG Ornamental Kale Color Up White 100/100 Pixie Tag</t>
  </si>
  <si>
    <t>TAG Ornamental Kale Coral Prince 100/100 Pixie Tag</t>
  </si>
  <si>
    <t>TAG Ornamental Kale Coral Queen 100/100 Pixie Tag</t>
  </si>
  <si>
    <t>TAG Ornamental Kale Crystal Deep Red 100/100 Pixie Tag</t>
  </si>
  <si>
    <t>TAG Ornamental Kale Crystal Pink 100/100 Pixie Tag</t>
  </si>
  <si>
    <t>TAG Ornamental Kale Crystal Red 100/100 Pixie Tag</t>
  </si>
  <si>
    <t>TAG Ornamental Kale Crystal Snow 100/100 Pixie Tag</t>
  </si>
  <si>
    <t>TAG Ornamental Kale Emperor Red 100/100 Pixie Tag</t>
  </si>
  <si>
    <t>TAG Kale GENERIC 100/100 Pixie Tag</t>
  </si>
  <si>
    <t>TAG Ornamental Kale Glamour Red 100/100 Pixie Tag</t>
  </si>
  <si>
    <t>TAG Ornamental Kale Kamome Bright Pink 100/100 Pixie Tag</t>
  </si>
  <si>
    <t>TAG Ornamental Kale Kamome Bright White 100/100 Pixie Tag</t>
  </si>
  <si>
    <t>TAG Ornamental Kale Kamome Pink 100/100 Pixie Tag</t>
  </si>
  <si>
    <t>TAG Ornamental Kale Kamome Red 100/100 Pixie Tag</t>
  </si>
  <si>
    <t>TAG Ornamental Kale Kamome White 100/100 Pixie Tag</t>
  </si>
  <si>
    <t>TAG Kale Lacinato 100/100 Pixie Tag</t>
  </si>
  <si>
    <t>TAG Ornamental Kale Nagoya Mix 100/100 Pixie Tag</t>
  </si>
  <si>
    <t>TAG Ornamental Kale Nagoya Red 100/100 Pixie Tag</t>
  </si>
  <si>
    <t>TAG Ornamental Kale Nagoya Rose 100/100 Pixie Tag</t>
  </si>
  <si>
    <t>TAG Ornamental Kale Nagoya White 100/100 Pixie Tag</t>
  </si>
  <si>
    <t>TAG Ornamental Kale Osaka IQ Pink Bicolor 100/100 Pixie Tag</t>
  </si>
  <si>
    <t>TAG Ornamental Kale Osaka IQ Red 100/100 Pixie Tag</t>
  </si>
  <si>
    <t>TAG Ornamental Kale Osaka Mix 100/100 Pixie Tag</t>
  </si>
  <si>
    <t>TAG Ornamental Kale Osaka Pink 100/100 Pixie Tag</t>
  </si>
  <si>
    <t>TAG Ornamental Kale Osaka Red 100/100 Pixie Tag</t>
  </si>
  <si>
    <t>TAG Ornamental Kale Osaka White 100/100 Pixie Tag</t>
  </si>
  <si>
    <t>TAG Ornamental Kale Peacock Red 100/100 Pixie Tag</t>
  </si>
  <si>
    <t>TAG Ornamental Kale Peacock White 100/100 Pixie Tag</t>
  </si>
  <si>
    <t>TAG Ornamental Kale Pigeon Purple 100/100 Pixie Tag</t>
  </si>
  <si>
    <t>TAG Ornamental Kale Pigeon Red 100/100 Pixie Tag</t>
  </si>
  <si>
    <t>TAG Ornamental Kale Pigeon Victoria 100/100 Pixie Tag</t>
  </si>
  <si>
    <t>TAG Ornamental Kale Pigeon White 100/100 Pixie Tag</t>
  </si>
  <si>
    <t>TAG Ornamental Kale Pink GENERIC 100/100 Pixie Tag</t>
  </si>
  <si>
    <t>TAG Kale Prizm 100/100 Pixie Tag</t>
  </si>
  <si>
    <t>TAG Ornamental Kale Red GENERIC 100/100 Pixie Tag</t>
  </si>
  <si>
    <t>TAG Kale Red Russian 100/100 Pixie Tag</t>
  </si>
  <si>
    <t>TAG Kale Redbor 100/100 Pixie Tag</t>
  </si>
  <si>
    <t>TAG Ornamental Kale Scarlet GENERIC 100/100 Pixie Tag</t>
  </si>
  <si>
    <t>TAG Kale Scarletbor 100/100 Pixie Tag</t>
  </si>
  <si>
    <t>TAG Kale Simply Salad Storm Mix 25/25 Portrait Tag</t>
  </si>
  <si>
    <t>TAG Ornamental Kale Songbird Pink 100/100 Pixie Tag</t>
  </si>
  <si>
    <t>TAG Ornamental Kale Songbird Red 100/100 Pixie Tag</t>
  </si>
  <si>
    <t>TAG Ornamental Kale Songbird White 100/100 Pixie Tag</t>
  </si>
  <si>
    <t>TAG Kale Starbor 100/100 Pixie Tag</t>
  </si>
  <si>
    <t>TAG Ornamental Kale Tokyo Red 100/100 Pixie Tag</t>
  </si>
  <si>
    <t>TAG Ornamental Kale White Ornamental GENERIC 100/100 Pixie Tag</t>
  </si>
  <si>
    <t>TAG Kale Winterbor 100/100 Pixie Tag</t>
  </si>
  <si>
    <t>TAG Ornamental Kale Yokohama Mix 100/100 Pixie Tag</t>
  </si>
  <si>
    <t>TAG Ornamental Kale Yokohama Red 100/100 Pixie Tag</t>
  </si>
  <si>
    <t>TAG Ornamental Kale Yokohama White 100/100 Pixie Tag</t>
  </si>
  <si>
    <t>TAG Kniphofia Border Ballet 25/25 Portrait Tag</t>
  </si>
  <si>
    <t>TAG Kniphofia Flamenco 25/25 Portrait Tag</t>
  </si>
  <si>
    <t>TAG Kniphofia Glowstick 25/25 Portrait Tag</t>
  </si>
  <si>
    <t>TAG Kniphofia Poco Citron 25/25 Portrait Tag</t>
  </si>
  <si>
    <t>TAG Kniphofia Poco Orange 25/25 Portrait Tag</t>
  </si>
  <si>
    <t>TAG Kniphofia Poco Red 25/25 Portrait Tag</t>
  </si>
  <si>
    <t>TAG Kniphofia Red Hot Poker GENERIC 100/100 Pixie Tag</t>
  </si>
  <si>
    <t>TAG Kniphofia Red Hot Poker GENERIC 25/25 Portrait Tag</t>
  </si>
  <si>
    <t>TAG Koeleria Coolio 25/25 Portrait Tag</t>
  </si>
  <si>
    <t>TAG Kohlrabi Early Purple Vienna 100/100 Pixie Tag</t>
  </si>
  <si>
    <t>TAG Kohlrabi Early White Vienna 100/100 Pixie Tag</t>
  </si>
  <si>
    <t>TAG Kohlrabi Giant Storage Type GENERIC 100/100 Pixie Tag</t>
  </si>
  <si>
    <t>TAG Kohlrabi Gourmet Purple 100/100 Pixie Tag</t>
  </si>
  <si>
    <t>TAG Kohlrabi Gourmet White 100/100 Pixie Tag</t>
  </si>
  <si>
    <t>TAG Kohlrabi Grand Duke Hybrid 100/100 Pixie Tag</t>
  </si>
  <si>
    <t>TAG Kohlrabi Konan 100/100 Pixie Tag</t>
  </si>
  <si>
    <t>TAG Kohlrabi Quickstar 100/100 Pixie Tag</t>
  </si>
  <si>
    <t>TAG Kohlrabi Winner 100/100 Pixie Tag</t>
  </si>
  <si>
    <t>TAG Kwik Kombo Banana Pancakes Mix 50/50 Petite Portrait SF FUL</t>
  </si>
  <si>
    <t>TAG Kwik Kombo Bandana Lemon Meringue Mix 50/50 Petite Portrait SF FUL</t>
  </si>
  <si>
    <t>TAG Kwik Kombo Bandana Lemon Squeeze Mix 50/50 Petite Portrait SF FUL</t>
  </si>
  <si>
    <t>TAG Kwik Kombo Bandolista Go Coconuts Mix 50/50 Petite Portrait SF FUL</t>
  </si>
  <si>
    <t>TAG Kwik Kombo Bandolista Hot Chili Mix 50/50 Petite Portrait SF FUL</t>
  </si>
  <si>
    <t>TAG Kwik Kombo Bandolista Lava Flow Mix 50/50 Pixie Tag SF FUL</t>
  </si>
  <si>
    <t>TAG Kwik Kombo Beach Bound Mix 50/50 Petite Portrait SF FUL</t>
  </si>
  <si>
    <t>TAG Kwik Kombo Beach Breeze Mix 50/50 Petite Portrait SF FUL</t>
  </si>
  <si>
    <t>TAG Kwik Kombo Beach Bum Mix 50/50 Petite Portrait SF FUL</t>
  </si>
  <si>
    <t>TAG Kwik Kombo Blue Lightning Mix 50/50 Petite Portrait SF FUL</t>
  </si>
  <si>
    <t>TAG Kwik Kombo Blue Ridge Mix 50/50 Petite Portrait SF FUL</t>
  </si>
  <si>
    <t>TAG Kwik Kombo Blueberry Blast Mix 50/50 Petite Portrait SF FUL</t>
  </si>
  <si>
    <t>TAG Kwik Kombo Blueberry Twist 50/50 Petite Portrait SF FUL</t>
  </si>
  <si>
    <t>TAG Kwik Kombo Bombay Summer Sparkler Mix 50/50 Petite Portrait SF FUL</t>
  </si>
  <si>
    <t>TAG Kwik Kombo Cabrio Life Is A Highway Mix 50/50 Petite Portrait SF FUL</t>
  </si>
  <si>
    <t>TAG Kwik Kombo Cabrio Ride Along Mix 50/50 Petite Portrait SF FUL</t>
  </si>
  <si>
    <t>TAG Kwik Kombo Cabrio Road Trip Mix 50/50 Petite Portrait SF FUL</t>
  </si>
  <si>
    <t>TAG Kwik Kombo Cabrio Speed Limit Mix 50/50 Petite Portrait SF FUL</t>
  </si>
  <si>
    <t>TAG Kwik Kombo Callie Cabana Mix 50/50 Pixie Tag SF FUL</t>
  </si>
  <si>
    <t>TAG Kwik Kombo Callie Citrus Fire Mix 50/50 Petite Portrait SF FUL</t>
  </si>
  <si>
    <t>TAG Kwik Kombo Callie Color Wheel Mix 50/50 Petite Portrait SF FUL</t>
  </si>
  <si>
    <t>TAG Kwik Kombo Carita Summer Berry Blast Mix 50/50 Petite Portrait SF FUL</t>
  </si>
  <si>
    <t>TAG Kwik Kombo Coral Kisses Mix 50/50 Petite Portrait SF FUL</t>
  </si>
  <si>
    <t>TAG Kwik Kombo Crushed Velvet Mix 50/50 Petite Portrait SF FUL</t>
  </si>
  <si>
    <t>TAG Kwik Kombo Curb Appeal 50/50 Petite Portrait SF FUL</t>
  </si>
  <si>
    <t>TAG Kwik Kombo Dekko Dare Devil Mix 50/50 Petite Portrait SF FUL</t>
  </si>
  <si>
    <t>TAG Kwik Kombo Dekko Lavender Twist Mix 50/50 Petite Portrait SF FUL</t>
  </si>
  <si>
    <t>TAG Kwik Kombo Dekko Moody Blues Mix 50/50 Petite Portrait SF FUL</t>
  </si>
  <si>
    <t>TAG Kwik Kombo Dekko Salute Mix 50/50 Petite Portrait SF FUL</t>
  </si>
  <si>
    <t>TAG Kwik Kombo Disco Inferno Mix 50/50 Pixie Tag SF FUL</t>
  </si>
  <si>
    <t>TAG Kwik Kombo Effortless Beauty Mix 50/50 Petite Portrait SF FUL</t>
  </si>
  <si>
    <t>TAG Kwik Kombo Endless Love Mix 50/50 Petite Portrait SF FUL</t>
  </si>
  <si>
    <t>TAG Kwik Kombo Fire And Ice Mix 50/50 Petite Portrait SF FUL</t>
  </si>
  <si>
    <t>TAG Kwik Kombo Grape Expectations 50/50 Petite Portrait SF FUL</t>
  </si>
  <si>
    <t>TAG Kwik Kombo Harvest Moon Mix 50/50 Petite Portrait SF FUL</t>
  </si>
  <si>
    <t>TAG Kwik Kombo I Like It Hot 50/50 Petite Portrait SF FUL</t>
  </si>
  <si>
    <t>TAG Kwik Kombo In A Jam Mix 50/50 Petite Portrait SF FUL</t>
  </si>
  <si>
    <t>TAG Kwik Kombo Island In The Sun Mix 50/50 Petite Portrait SF FUL</t>
  </si>
  <si>
    <t>TAG Kwik Kombo Itsy Bitsy Mix 50/50 Petite Portrait SF FUL</t>
  </si>
  <si>
    <t>TAG Kwik Kombo Itsy Trifection Mix 50/50 Petite Portrait SF FUL</t>
  </si>
  <si>
    <t>TAG Kwik Kombo Lemon Chiffon Mix 50/50 Petite Portrait SF FUL</t>
  </si>
  <si>
    <t>TAG Kwik Kombo Light Bright Mix 50/50 Petite Portrait SF FUL</t>
  </si>
  <si>
    <t>TAG Kwik Kombo Little Piece Of My Heart Mix 50/50 Petite Portrait SF FUL</t>
  </si>
  <si>
    <t>TAG Kwik Kombo Love Potion Mix 50/50 Petite Portrait SF FUL</t>
  </si>
  <si>
    <t>TAG Kwik Kombo Mai Tai Mix 50/50 Petite Portrait SF FUL</t>
  </si>
  <si>
    <t>TAG Kwik Kombo Mermaid Tails Mix 50/50 Petite Portrait SF FUL</t>
  </si>
  <si>
    <t>TAG Kwik Kombo Midnight Moon Mix 50/50 Petite Portrait SF FUL</t>
  </si>
  <si>
    <t>TAG Kwik Kombo Mom's Chosen One 50/50 Petite Portrait SF FUL</t>
  </si>
  <si>
    <t>TAG Kwik Kombo Night In Pompeii Mix 50/50 Petite Portrait SF FUL</t>
  </si>
  <si>
    <t>TAG Kwik Kombo Paloma Mix 50/50 Petite Portrait SF FUL</t>
  </si>
  <si>
    <t>TAG Kwik Kombo Patio Selfie 50/50 Petite Portrait SF FUL</t>
  </si>
  <si>
    <t>TAG Kwik Kombo Peach Squeeze Mix 50/50 Pixie Tag SF FUL</t>
  </si>
  <si>
    <t>TAG Kwik Kombo Perfectly Purple Mix 50/50 Pixie Tag SF FUL</t>
  </si>
  <si>
    <t>TAG Kwik Kombo Picnic In The Park Mix 50/50 Pixie Tag SF FUL</t>
  </si>
  <si>
    <t>TAG Kwik Kombo Pink Lemonade Mix 50/50 Petite Portrait SF FUL</t>
  </si>
  <si>
    <t>TAG Kwik Kombo Pink Limeaide Mix 50/50 Petite Portrait SF FUL</t>
  </si>
  <si>
    <t>TAG Kwik Kombo Pink Prism Mix 50/50 Petite Portrait SF FUL</t>
  </si>
  <si>
    <t>TAG Kwik Kombo Plum-Tastic Mix 50/50 Petite Portrait SF FUL</t>
  </si>
  <si>
    <t>TAG Kwik Kombo Primary Perfection Mix 50/50 Petite Portrait SF FUL</t>
  </si>
  <si>
    <t>TAG Kwik Kombo Rock N' Roll Mix 50/50 Petite Portrait SF FUL</t>
  </si>
  <si>
    <t>TAG Kwik Kombo Rockets' Red Glare Mix 50/50 Petite Portrait SF FUL</t>
  </si>
  <si>
    <t>TAG Kwik Kombo Rockies Mix 50/50 Petite Portrait SF FUL</t>
  </si>
  <si>
    <t>TAG Kwik Kombo Rocky Mountain High Mix 50/50 Petite Portrait SF FUL</t>
  </si>
  <si>
    <t>TAG Kwik Kombo Royal Duchess Mix 50/50 Petite Portrait SF FUL</t>
  </si>
  <si>
    <t>TAG Kwik Kombo Royal Gold Mix 50/50 Petite Portrait SF FUL</t>
  </si>
  <si>
    <t>TAG Kwik Kombo Salsa Mix 50/50 Petite Portrait SF FUL</t>
  </si>
  <si>
    <t>TAG Kwik Kombo Sanguna Mega Heart-throb Mix 50/50 Pixie Tag SF FUL</t>
  </si>
  <si>
    <t>TAG Kwik Kombo Sanguna Moody Blues Mix 50/50 Petite Portrait SF FUL</t>
  </si>
  <si>
    <t>TAG Kwik Kombo Sanguna Punk Rock Mix 50/50 Petite Portrait SF FUL</t>
  </si>
  <si>
    <t>TAG Kwik Kombo Sanguna Salute Mix 50/50 Petite Portrait SF FUL</t>
  </si>
  <si>
    <t>TAG Kwik Kombo Sanguna Sweet Sens Mix 50/50 Pixie Tag SF FUL</t>
  </si>
  <si>
    <t>TAG Kwik Kombo Sedona Mix 50/50 Petite Portrait SF FUL</t>
  </si>
  <si>
    <t>TAG Kwik Kombo Southwestern Summer Mix 50/50 Petite Portrait SF FUL</t>
  </si>
  <si>
    <t>TAG Kwik Kombo Spring Breeze Mix 50/50 Petite Portrait SF FUL</t>
  </si>
  <si>
    <t>TAG Kwik Kombo Spring Showers Mix 50/50 Petite Portrait SF FUL</t>
  </si>
  <si>
    <t>TAG Kwik Kombo Spring Sunset Mix 50/50 Petite Portrait SF FUL</t>
  </si>
  <si>
    <t>TAG Kwik Kombo Strawberry Daiquiri Mix 50/50 Petite Portrait SF FUL</t>
  </si>
  <si>
    <t>TAG Kwik Kombo Summer Jelly Mix 50/50 Petite Portrait SF FUL</t>
  </si>
  <si>
    <t>TAG Kwik Kombo Summer To Remember 50/50 Petite Portrait SF FUL</t>
  </si>
  <si>
    <t>TAG Kwik Kombo Summerfun Mix 50/50 Petite Portrait SF FUL</t>
  </si>
  <si>
    <t>TAG Kwik Kombo Summer's Promise 50/50 Petite Portrait SF FUL</t>
  </si>
  <si>
    <t>TAG Kwik Kombo That's The Spirit Mix 50/50 Petite Portrait SF FUL</t>
  </si>
  <si>
    <t>TAG Kwik Kombo Touch Of Class Mix 50/50 Petite Portrait SF FUL</t>
  </si>
  <si>
    <t>TAG Kwik Kombo Walk Of Stars Mix 50/50 Petite Portrait SF FUL</t>
  </si>
  <si>
    <t>TAG Kwik Kombo Water Lily Mix 50/50 Petite Portrait SF FUL</t>
  </si>
  <si>
    <t>TAG Kwik Kombo Wine DO FULwn Mix 50/50 Petite Portrait SF FUL</t>
  </si>
  <si>
    <t>TAG Kwik Kombo Wisteria Lane Mix 50/50 Petite Portrait SF FUL</t>
  </si>
  <si>
    <t>TAG Lagurus Bunny Tails 100/100 Pixie Tag</t>
  </si>
  <si>
    <t>TAG Lagurus Rabbit Tail 100/100 Pixie Tag</t>
  </si>
  <si>
    <t>TAG Lamiastrum Herman's Pride 100/100 Pixie Tag DO FUL</t>
  </si>
  <si>
    <t>TAG Lamiastrum Herman's Pride 25/25 Portrait Tag</t>
  </si>
  <si>
    <t>TAG Lamiastrum Herman's Pride 50/50 Petite Portrait DO FUL</t>
  </si>
  <si>
    <t>TAG Lamiastrum Variegatum Galeobdolon 25/25 Portrait Tag</t>
  </si>
  <si>
    <t>TAG Lamium Anne Greenaway 100/100 Pixie Tag DO FUL</t>
  </si>
  <si>
    <t>TAG Lamium Anne Greenaway 25/25 Portrait Tag</t>
  </si>
  <si>
    <t>TAG Lamium Aureum 50/50 Petite Portrait DO FUL</t>
  </si>
  <si>
    <t>TAG Lamium Aureum Maculatum 25/25 Portrait Tag</t>
  </si>
  <si>
    <t>TAG Lamium Beacon Silver 100/100 Pixie Tag DO FUL</t>
  </si>
  <si>
    <t>TAG Lamium Beacon Silver 25/25 Portrait Tag</t>
  </si>
  <si>
    <t>TAG Lamium Ghost 100/100 Pixie Tag DO FUL</t>
  </si>
  <si>
    <t>TAG Lamium Ghost Maculatum 25/25 Portrait Tag</t>
  </si>
  <si>
    <t>TAG Lamium Golden Anniversary 100/100 Pixie Tag DO FUL</t>
  </si>
  <si>
    <t>TAG Lamium Lami Dark Purple Maculatum 100/100 Pixie Tag</t>
  </si>
  <si>
    <t>TAG Lamium Lami Dark Purple Maculatum 25/25 Portrait Tag</t>
  </si>
  <si>
    <t>TAG Lamium GENERIC Maculatum 100/100 Pixie Tag</t>
  </si>
  <si>
    <t>TAG Lamium Lami Mega Purple Maculatum 100/100 Pixie Tag</t>
  </si>
  <si>
    <t>TAG Lamium Lemon Frost Maculatum 25/25 Portrait Tag</t>
  </si>
  <si>
    <t>TAG Lamium Orchid Frost 100/100 Pixie Tag DO FUL</t>
  </si>
  <si>
    <t>TAG Lamium Orchid Frost Gold 100/100 Pixie Tag DO FUL</t>
  </si>
  <si>
    <t>TAG Lamium Orchid Frost Grande 100/100 Pixie Tag DO FUL</t>
  </si>
  <si>
    <t>TAG Lamium Orchid Frost Maculatum 100/100 Pixie Tag</t>
  </si>
  <si>
    <t>TAG Lamium Orchid Frost Maculatum 25/25 Portrait Tag</t>
  </si>
  <si>
    <t>TAG Lamium Pink Pewter 100/100 Pixie Tag DO FUL</t>
  </si>
  <si>
    <t>TAG Lamium Pink Pewter 25/25 Portrait Tag</t>
  </si>
  <si>
    <t>TAG Lamium Purple Dragon 100/100 Pixie Tag DO FUL</t>
  </si>
  <si>
    <t>TAG Lamium Purple Dragon 25/25 Portrait Tag</t>
  </si>
  <si>
    <t>TAG Lamium Red Nancy 100/100 Pixie Tag DO FUL</t>
  </si>
  <si>
    <t>TAG Lamium Red Nancy 25/25 Portrait Tag</t>
  </si>
  <si>
    <t>TAG Lamium Shell Pink Maculatum 25/25 Portrait Tag</t>
  </si>
  <si>
    <t>TAG Lamium White Nancy 100/100 Pixie Tag DO FUL</t>
  </si>
  <si>
    <t>TAG Lamium White Nancy 25/25 Portrait Tag</t>
  </si>
  <si>
    <t>TAG Lampranthus Ice Plant GENERIC 100/100 Pixie Tag</t>
  </si>
  <si>
    <t>TAG Lantana Bandana Black Cherry 50/50 Petite Portrait SF FUL</t>
  </si>
  <si>
    <t>TAG Lantana Bandana Cherry 50/50 Petite Portrait SF FUL</t>
  </si>
  <si>
    <t>TAG Lantana Bandana Cherry Sunrise 50/50 Petite Portrait SF FUL</t>
  </si>
  <si>
    <t>TAG Lantana Bandana Gold 50/50 Petite Portrait SF FUL</t>
  </si>
  <si>
    <t>TAG Lantana Bandana Lemon Zest 50/50 Petite Portrait SF FUL</t>
  </si>
  <si>
    <t>TAG Lantana Bandana Mango 50/50 Petite Portrait SF FUL</t>
  </si>
  <si>
    <t>TAG Lantana Bandana Peach 50/50 Petite Portrait SF FUL</t>
  </si>
  <si>
    <t>TAG Lantana Bandana Pink 50/50 Petite Portrait SF FUL</t>
  </si>
  <si>
    <t>TAG Lantana Bandana Red 50/50 Petite Portrait SF FUL</t>
  </si>
  <si>
    <t>TAG Lantana Bandana Rose 50/50 Petite Portrait SF FUL</t>
  </si>
  <si>
    <t>TAG Lantana Bandana White Improved 50/50 Petite Portrait SF FUL</t>
  </si>
  <si>
    <t>TAG Lantana Bandana Yellow Improved 50/50 Petite Portrait SF FUL</t>
  </si>
  <si>
    <t>TAG Lantana Bandito Gold 50/50 Petite Portrait SF FUL</t>
  </si>
  <si>
    <t>TAG Lantana Bandito Lemon Zest 50/50 Petite Portrait SF FUL</t>
  </si>
  <si>
    <t>TAG Lantana Bandito Orange Sunrise 50/50 Petite Portrait SF FUL</t>
  </si>
  <si>
    <t>TAG Lantana Bandito Red 50/50 Petite Portrait SF FUL</t>
  </si>
  <si>
    <t>TAG Lantana Bandito Rose 50/50 Petite Portrait SF FUL</t>
  </si>
  <si>
    <t>TAG Lantana Bandito White 50/50 Petite Portrait SF FUL</t>
  </si>
  <si>
    <t>TAG Lantana Bandito Yellow 50/50 Petite Portrait SF FUL</t>
  </si>
  <si>
    <t>TAG Lantana Bandolero Cherry Sunrise 50/50 Petite Portrait SF FUL</t>
  </si>
  <si>
    <t>TAG Lantana Bandolero Guava 50/50 Petite Portrait SF FUL</t>
  </si>
  <si>
    <t>TAG Lantana Bandolero Lemon 50/50 Petite Portrait SF FUL</t>
  </si>
  <si>
    <t>TAG Lantana Bandolero Lychee 50/50 Petite Portrait SF FUL</t>
  </si>
  <si>
    <t>TAG Lantana Bandolero Pineapple 50/50 Petite Portrait SF FUL</t>
  </si>
  <si>
    <t>TAG Lantana Bandolero Pink 50/50 Petite Portrait SF FUL</t>
  </si>
  <si>
    <t>TAG Lantana Bandolero Red 50/50 Petite Portrait SF FUL</t>
  </si>
  <si>
    <t>TAG Lantana Bandolero White Improved 50/50 Petite Portrait SF FUL</t>
  </si>
  <si>
    <t>TAG Lantana Bandolista Coconut 50/50 Petite Portrait SF FUL</t>
  </si>
  <si>
    <t>TAG Lantana Bandolista Mango 50/50 Petite Portrait SF FUL</t>
  </si>
  <si>
    <t>TAG Lantana Bandolista Pineapple 50/50 Petite Portrait SF FUL</t>
  </si>
  <si>
    <t>TAG Lantana Bandolista Red Chili 50/50 Petite Portrait SF FUL</t>
  </si>
  <si>
    <t>TAG Lantana Bicolor GENERIC 100/100 Pixie Tag</t>
  </si>
  <si>
    <t>TAG Lantana Carlos 100/100 Pixie Tag</t>
  </si>
  <si>
    <t>TAG Lantana Confetti 100/100 Pixie Tag</t>
  </si>
  <si>
    <t>TAG Lantana Confetti 50/50 Petite Portrait DO FUL</t>
  </si>
  <si>
    <t>TAG Lantana Dallas Red 100/100 Pixie Tag</t>
  </si>
  <si>
    <t>TAG Lantana Dallas Red 50/50 Petite Portrait DO FUL</t>
  </si>
  <si>
    <t>TAG Lantana Evita Series 100/100 Pixie Tag</t>
  </si>
  <si>
    <t>TAG Lantana Fuego Series 100/100 Pixie Tag</t>
  </si>
  <si>
    <t>TAG Lantana Gem Series 100/100 Pixie Tag</t>
  </si>
  <si>
    <t>TAG Lantana GENERIC 100/100 Hang Tag</t>
  </si>
  <si>
    <t>TAG Lantana Bilingual GENERIC 100/100 Pixie Tag</t>
  </si>
  <si>
    <t>TAG Lantana Gold 100/100 Pixie Tag</t>
  </si>
  <si>
    <t>TAG Lantana Gold Mound 100/100 Pixie Tag</t>
  </si>
  <si>
    <t>TAG Lantana Havana Cherry 50/50 Petite Portrait DO FUL</t>
  </si>
  <si>
    <t>TAG Lantana Havana Full Moon 50/50 Petite Portrait DO FUL</t>
  </si>
  <si>
    <t>TAG Lantana Havana Gold 50/50 Petite Portrait DO FUL</t>
  </si>
  <si>
    <t>TAG Lantana Havana Harvest Moon 50/50 Petite Portrait DO FUL</t>
  </si>
  <si>
    <t>TAG Lantana Havana Lights 50/50 Petite Portrait DO FUL</t>
  </si>
  <si>
    <t>TAG Lantana Havana Nights 50/50 Petite Portrait DO FUL</t>
  </si>
  <si>
    <t>TAG Lantana Havana Pink Sky 50/50 Petite Portrait DO FUL</t>
  </si>
  <si>
    <t>TAG Lantana Havana Red Sky 50/50 Petite Portrait DO FUL</t>
  </si>
  <si>
    <t>TAG Lantana Havana Sky 50/50 Petite Portrait DO FUL</t>
  </si>
  <si>
    <t>TAG Lantana Havana Streets 50/50 Petite Portrait DO FUL</t>
  </si>
  <si>
    <t>TAG Lantana Havana Summer 50/50 Petite Portrait DO FUL</t>
  </si>
  <si>
    <t>TAG Lantana Havana Sunrise 50/50 Petite Portrait DO FUL</t>
  </si>
  <si>
    <t>TAG Lantana Havana Sunset 50/50 Petite Portrait DO FUL</t>
  </si>
  <si>
    <t>TAG Lantana Havana Sunshine 50/50 Petite Portrait DO FUL</t>
  </si>
  <si>
    <t>TAG Lantana Havana Yellow 50/50 Petite Portrait DO FUL</t>
  </si>
  <si>
    <t>TAG Lantana Heartland Blue Moon 50/50 Petite Portrait DO FUL</t>
  </si>
  <si>
    <t>TAG Lantana Heartland Citrus 50/50 Petite Portrait DO FUL</t>
  </si>
  <si>
    <t>TAG Lantana Heartland Neon 50/50 Petite Portrait DO FUL</t>
  </si>
  <si>
    <t>TAG Lantana Heartland Orange 50/50 Petite Portrait DO FUL</t>
  </si>
  <si>
    <t>TAG Lantana Heartland Pink Sunset 50/50 Petite Portrait DO FUL</t>
  </si>
  <si>
    <t>TAG Lantana Heartland Really Red 50/50 Petite Portrait DO FUL</t>
  </si>
  <si>
    <t>TAG Lantana Heartland Red 50/50 Petite Portrait DO FUL</t>
  </si>
  <si>
    <t>TAG Lantana Heartland Sunrise 50/50 Petite Portrait DO FUL</t>
  </si>
  <si>
    <t>TAG Lantana Heartland Sunset 24 50/50 Pixie TAG DO FUL</t>
  </si>
  <si>
    <t>TAG Lantana Heartland White 50/50 Petite Portrait DO FUL</t>
  </si>
  <si>
    <t>TAG Lantana Hot Blooded Red 50/50 Petite Portrait SF FUL</t>
  </si>
  <si>
    <t>TAG Lantana Irene 100/100 Pixie Tag</t>
  </si>
  <si>
    <t>TAG Lantana Landscape Bandana Clementine 50/50 Petite Portrait SF FUL</t>
  </si>
  <si>
    <t>TAG Lantana Landscape Bandana Gold 50/50 Petite Portrait SF FUL</t>
  </si>
  <si>
    <t>TAG Lantana Landscape Bandana Pink 50/50 Petite Portrait SF FUL</t>
  </si>
  <si>
    <t>TAG Lantana Landscape Bandana Red 50/50 Petite Portrait SF FUL</t>
  </si>
  <si>
    <t>TAG Lantana Landscape Bandana Yellow 50/50 Petite Portrait SF FUL</t>
  </si>
  <si>
    <t>TAG Lantana Landscape Bandana Lemon Zest 50/50 Petite Portrait SF FUL</t>
  </si>
  <si>
    <t>TAG Lantana Miss Huff 100/100 Pixie Tag</t>
  </si>
  <si>
    <t>TAG Lantana Miss Huff 50/50 Petite Portrait DO FUL</t>
  </si>
  <si>
    <t>TAG Lantana New Gold 50/50 Petite Portrait DO FUL</t>
  </si>
  <si>
    <t>TAG Lantana Orange GENERIC 100/100 Pixie Tag</t>
  </si>
  <si>
    <t>TAG Lantana Pink Caprice 100/100 Pixie Tag</t>
  </si>
  <si>
    <t>TAG Lantana Pink GENERIC 100/100 Pixie Tag</t>
  </si>
  <si>
    <t>TAG Lantana Radiation 100/100 Pixie Tag</t>
  </si>
  <si>
    <t>TAG Lantana Red GENERIC 100/100 Pixie Tag</t>
  </si>
  <si>
    <t>TAG Lantana Samantha 100/100 Pixie Tag</t>
  </si>
  <si>
    <t>TAG Lantana Silver Mound 100/100 Pixie Tag</t>
  </si>
  <si>
    <t>TAG Lantana Spreading Sunset 100/100 Pixie Tag</t>
  </si>
  <si>
    <t>TAG Lantana Spreading Sunset 25/25 Portrait Tag</t>
  </si>
  <si>
    <t>TAG Lantana Sundance Pink 100/100 Pixie Tag</t>
  </si>
  <si>
    <t>TAG Lantana Sundance Red 100/100 Pixie Tag</t>
  </si>
  <si>
    <t>TAG Lantana Sundance White 100/100 Pixie Tag</t>
  </si>
  <si>
    <t>TAG Lantana Sundance Yellow 100/100 Pixie Tag</t>
  </si>
  <si>
    <t>TAG Lantana Lavender Trailing GENERIC 100/100 Pixie Tag</t>
  </si>
  <si>
    <t>TAG Lantana Lavender Trailing 50/50 Petite Portrait DO FUL</t>
  </si>
  <si>
    <t>TAG Lantana Purple Trailing GENERIC 100/100 Pixie Tag</t>
  </si>
  <si>
    <t>TAG Lantana White Trailing 50/50 Petite Portrait DO FUL</t>
  </si>
  <si>
    <t>TAG Lantana White Trailing GENERIC 100/100 Pixie Tag</t>
  </si>
  <si>
    <t>TAG Lantana Upright GENERIC 100/100 Pixie Tag</t>
  </si>
  <si>
    <t>TAG Lantana White GENERIC 100/100 Pixie Tag</t>
  </si>
  <si>
    <t>TAG Lantana Yellow GENERIC 100/100 Pixie Tag</t>
  </si>
  <si>
    <t>TAG Larkspur GENERIC 100/100 Pixie Tag</t>
  </si>
  <si>
    <t>TAG Larkspur Imperial Giants 100/100 Pixie Tag</t>
  </si>
  <si>
    <t>TAG Lathyrus Sweet Pea Compact GENERIC 100/100 Pixie Tag</t>
  </si>
  <si>
    <t>TAG Lathyrus Sweet Pea Incense Mix 100/100 Pixie Tag</t>
  </si>
  <si>
    <t>TAG Lathyrus Sweet Pea Mix Latifolius 25/25 Portrait Tag</t>
  </si>
  <si>
    <t>TAG Lathyrus Sweet Pea Royal Mix 100/100 Pixie Tag</t>
  </si>
  <si>
    <t>TAG Lathyrus Sweet Pea GENERIC 100/100 Pixie Tag</t>
  </si>
  <si>
    <t>TAG Isotoma/Laurentia Blue Star Creeper 100/100 Pixie Tag</t>
  </si>
  <si>
    <t>TAG Isotoma/Laurentia Blue Star Creeper 25/25 Portrait Tag</t>
  </si>
  <si>
    <t>TAG Isotoma/Laurentia Gemini Blue 100/100 Pixie Tag</t>
  </si>
  <si>
    <t>TAG Isotoma/Laurentia Gemini Pink 100/100 Pixie Tag</t>
  </si>
  <si>
    <t>TAG Isotoma/Laurentia GENERIC 100/100 Pixie Tag</t>
  </si>
  <si>
    <t>TAG Isotoma/Laurentia Starshine Blue 100/100 Pixie Tag SF</t>
  </si>
  <si>
    <t>TAG Isotoma/Laurentia White Star Creeper 25/25 Portrait Tag</t>
  </si>
  <si>
    <t>TAG Lavatera GENERIC 100/100 Pixie Tag</t>
  </si>
  <si>
    <t>TAG Lavandula Lavender Annet Angustifolia 25/25 Portrait Tag</t>
  </si>
  <si>
    <t>TAG Lavandula Lavender Anouk 100/100 Pixie Tag DO FUL</t>
  </si>
  <si>
    <t>TAG Lavandula Lavender Anouk 25/25 Portrait Tag</t>
  </si>
  <si>
    <t>TAG Lavandula Lavender Anouk Burgundy 25/25 Portrait Tag</t>
  </si>
  <si>
    <t>TAG Lavandula Lavender Anouk Double 25/25 Portrait Tag</t>
  </si>
  <si>
    <t>TAG Lavandula Lavender Anouk Double Scape 25/25 Portrait Tag</t>
  </si>
  <si>
    <t>TAG Lavandula Lavender Anouk Deep Rose 25/25 Portrait Tag</t>
  </si>
  <si>
    <t>TAG Lavandula Lavender Anouk Purple Medley 25/25 Portrait Tag</t>
  </si>
  <si>
    <t>TAG Lavandula Lavender Anouk Royal 25/25 Portrait Tag</t>
  </si>
  <si>
    <t>TAG Lavandula Lavender Anouk Silver 25/25 Portrait Tag</t>
  </si>
  <si>
    <t>TAG Lavandula Lavender Anouk Stoechas 25/25 Portrait Tag</t>
  </si>
  <si>
    <t>TAG Lavandula Lavender Anouk Supreme 25/25 Portrait Tag</t>
  </si>
  <si>
    <t>TAG Lavandula Lavender Anouk Twilight 25/25 Portrait Tag</t>
  </si>
  <si>
    <t>TAG Lavandula Lavender Aromatico Blue 25/25 Portrait Tag SF</t>
  </si>
  <si>
    <t>TAG Lavandula Lavender Aromatico Blue Improved 50/50 Petite Portrait SF FUL</t>
  </si>
  <si>
    <t>TAG Lavandula Lavender Avignon Early Blue 25/25 Portrait Tag</t>
  </si>
  <si>
    <t>TAG Lavandula Lavender Bandera Deep Purple 100/100 Pixie Tag</t>
  </si>
  <si>
    <t>TAG Lavandula Lavender Bandera Deep Purple 25/25 Portrait Tag</t>
  </si>
  <si>
    <t>TAG Lavandula Lavender Bandera Deep Rose 100/100 Pixie Tag</t>
  </si>
  <si>
    <t>TAG Lavandula Lavender Bandera Deep Rose 25/25 Portrait Tag</t>
  </si>
  <si>
    <t>TAG Lavandula Lavender Bandera Pink 100/100 Pixie Tag</t>
  </si>
  <si>
    <t>TAG Lavandula Lavender Bandera Pink 25/25 Portrait Tag</t>
  </si>
  <si>
    <t>TAG Lavandula Lavender Bandera Purple 100/100 Pixie Tag</t>
  </si>
  <si>
    <t>TAG Lavandula Lavender Bandera Purple 25/25 Portrait Tag</t>
  </si>
  <si>
    <t>TAG Lavandula Lavender BeeZee Dark Blue 25/25 Portrait Tag</t>
  </si>
  <si>
    <t>TAG Lavandula Lavender BeeZee Pink 25/25 Portrait Tag</t>
  </si>
  <si>
    <t>TAG Lavandula Lavender BeeZee White 25/25 Portrait Tag</t>
  </si>
  <si>
    <t>TAG Lavandula Lavender Big Time Blue 25/25 Portrait Tag</t>
  </si>
  <si>
    <t>TAG Lavandula Lavender Big Time Blue 100/100 Pixie Tag DO FUL</t>
  </si>
  <si>
    <t>TAG Lavandula Lavender Blue Cushion 25/25 Portrait Tag</t>
  </si>
  <si>
    <t>TAG Lavandula Lavender Blue Spear 25/25 Portrait Tag</t>
  </si>
  <si>
    <t>TAG Lavandula Lavender Blue Jeans 100/100 Pixie Tag DO FUL</t>
  </si>
  <si>
    <t>TAG Lavandula Lavender Blue Spirit Purple Blue 50/50 Petite Portrait DO FUL</t>
  </si>
  <si>
    <t>TAG Lavandula Lavender Castilliano 2.0 Series 100/100 Pixie Tag</t>
  </si>
  <si>
    <t>TAG Lavandula Lavender Chill Out Blue 25/25 Portrait Tag</t>
  </si>
  <si>
    <t>TAG Lavandula Lavender Dentata French 100/100 Pixie Tag DO FUL</t>
  </si>
  <si>
    <t>TAG Lavandula Lavender Dilly Dilly 25/25 Portrait Tag</t>
  </si>
  <si>
    <t>TAG Lavandula Lavender Edelweiss 25/25 Portrait Tag</t>
  </si>
  <si>
    <t>TAG Lavandula Lavender Ellagance Ice 25/25 Portrait Tag</t>
  </si>
  <si>
    <t>TAG Lavandula Lavender Ellagance Pink 25/25 Portrait Tag</t>
  </si>
  <si>
    <t>TAG Lavandula Lavender Ellagance Purple 25/25 Portrait Tag</t>
  </si>
  <si>
    <t>TAG Lavandula Lavender Ellagance Sky 25/25 Portrait Tag</t>
  </si>
  <si>
    <t>TAG Lavandula Lavender Ellagance Snow 25/25 Portrait Tag</t>
  </si>
  <si>
    <t>TAG Lavandula Lavender English 100/100 Pixie Tag</t>
  </si>
  <si>
    <t>TAG Lavandula Lavender English GENERIC 25/25 Portrait Tag</t>
  </si>
  <si>
    <t>TAG Lavandula Lavender Fernleaf 100/100 Pixie Tag</t>
  </si>
  <si>
    <t>TAG Lavandula Lavender Fred Boutin 100/100 Pixie Tag</t>
  </si>
  <si>
    <t>TAG Lavandula Lavender French GENERIC 25/25 Portrait Tag</t>
  </si>
  <si>
    <t>TAG Lavandula Lavender French Spanish 100/100 Pixie Tag</t>
  </si>
  <si>
    <t>TAG Lavandula Lavender GENERIC 100/100 Pixie Tag</t>
  </si>
  <si>
    <t>TAG Lavandula Lavender GENERIC 25/25 Portrait Tag</t>
  </si>
  <si>
    <t>TAG Lavandula Lavender Goodwin Creek 100/100 Pixie Tag</t>
  </si>
  <si>
    <t>TAG Lavandula Lavender Goodwin Creek 100/100 Pixie Tag DO FUL</t>
  </si>
  <si>
    <t>TAG Lavandula Lavender Goodwin Creek 25/25 Portrait Tag</t>
  </si>
  <si>
    <t>TAG Lavandula Lavender Grosso 100/100 Pixie Tag</t>
  </si>
  <si>
    <t>TAG Lavandula Lavender Grosso 100/100 Pixie Tag DO FUL</t>
  </si>
  <si>
    <t>TAG Lavandula Lavender Grosso 25/25 Portrait Tag</t>
  </si>
  <si>
    <t>TAG Lavandula Lavender Grosso 50/50 Petite Portrait DO FUL</t>
  </si>
  <si>
    <t>TAG Lavandula Lavender Hidcote 100/100 Pixie Tag</t>
  </si>
  <si>
    <t>TAG Lavandula Lavender Hidcote Blue 25/25 Portrait Tag</t>
  </si>
  <si>
    <t>TAG Lavandula Lavender Hidcote Blue 100/100 Pixie Tag DO FUL</t>
  </si>
  <si>
    <t>TAG Lavandula Lavender Hidcote IOR 25/25 Portrait Tag</t>
  </si>
  <si>
    <t>TAG Lavandula Lavender Imperial 50/50 Petite Portrait DO FUL</t>
  </si>
  <si>
    <t>TAG Lavandula Lavender Javelin Compact Purple 25/25 Portrait Tag SF</t>
  </si>
  <si>
    <t>TAG Lavandula Lavender Javelin Forte Deep Purple 50/50 Petite Portrait SF FUL</t>
  </si>
  <si>
    <t>TAG Lavandula Lavender Javelin Forte Deep Rose 50/50 Petite Portrait SF FUL</t>
  </si>
  <si>
    <t>TAG Lavandula Lavender Javelin Forte Rose 50/50 Petite Portrait SF FUL</t>
  </si>
  <si>
    <t>TAG Lavandula Lavender Javelin Forte White Improved 50/50 Petite Portrait SF FUL</t>
  </si>
  <si>
    <t>TAG Lavandula Lavender Javelin Forte White 25/25 Portrait Tag SF</t>
  </si>
  <si>
    <t>TAG Lavandula Lavender Javelin Fortissimo Purple 25/25 Portrait Tag</t>
  </si>
  <si>
    <t>TAG Lavandula Lavender Javelin Forte Deep Purple 25/25 Portrait Tag SF</t>
  </si>
  <si>
    <t>TAG Lavandula Lavender Javelin Forte Deep Rose 25/25 Portrait Tag SF</t>
  </si>
  <si>
    <t>TAG Lavandula Lavender LaDiva Berry Beautiful 100/100 Pixie Tag DO FUL</t>
  </si>
  <si>
    <t>TAG Lavandula Lavender LaDiva Big Night 100/100 Pixie Tag DO FUL</t>
  </si>
  <si>
    <t>TAG Lavandula Lavender LaDiva Eternal Elegance 100/100 Pixie Tag DO FUL</t>
  </si>
  <si>
    <t>TAG Lavandula Lavender LaDiva Imperial 100/100 Pixie Tag DO FUL</t>
  </si>
  <si>
    <t>TAG Lavandula Lavender LaDiva Imperial Early 100/100 Pixie Tag DO FUL</t>
  </si>
  <si>
    <t>TAG Lavandula Lavender LaDiva Papillion Purple 100/100 Pixie Tag DO FUL</t>
  </si>
  <si>
    <t>TAG Lavandula Lavender LaDiva Papillion Rose 100/100 Pixie Tag DO FUL</t>
  </si>
  <si>
    <t>TAG Lavandula Lavender LaDiva Papillion Deep Rose 100/100 Pixie Tag DO FUL</t>
  </si>
  <si>
    <t>TAG Lavandula Lavender LaDiva Papillon White 100/100 Pixie Tag DO FUL</t>
  </si>
  <si>
    <t>TAG Lavandula Lavender LaDiva Spirit Deep Blue 100/100 Pixie Tag DO FUL</t>
  </si>
  <si>
    <t>TAG Lavandula Lavender LaDiva Spirit Deep Purple 100/100 Pixie Tag DO FUL</t>
  </si>
  <si>
    <t>TAG Lavandula Lavender LaDiva Spirit Purple Blue 100/100 Pixie Tag DO FUL</t>
  </si>
  <si>
    <t>TAG Lavandula Lavender LaDiva Spirit White 100/100 Pixie Tag DO FUL</t>
  </si>
  <si>
    <t>TAG Lavandula Lavender LaDiva Vintage Amethyst 100/100 Pixie Tag DO FUL</t>
  </si>
  <si>
    <t>TAG Lavandula Lavender LaDiva Vintage Violet 100/100 Pixie Tag DO FUL</t>
  </si>
  <si>
    <t>TAG Lavandula Lavender Lady 100/100 Pixie Tag</t>
  </si>
  <si>
    <t>TAG Lavandula Lavender Lavance Deep Purple 25/25 Portrait Tag</t>
  </si>
  <si>
    <t>TAG Lavandula Lavender Lavance Series 25/25 Portrait Tag</t>
  </si>
  <si>
    <t>TAG Lavandula Lavender Laveanna Series 100/100 Pixie Tag</t>
  </si>
  <si>
    <t>TAG Lavandula Lavender Lavinnova Frost Pink 25/25 Portrait Tag</t>
  </si>
  <si>
    <t>TAG Lavandula Lavender Lavinnova Frost Purple 25/25 Portrait Tag</t>
  </si>
  <si>
    <t>TAG Lavandula Lavender Lavish Purple Frost 25/25 Portrait Tag</t>
  </si>
  <si>
    <t>TAG Lavandula Lavender Lavlov Series 100/100 Pixie Tag</t>
  </si>
  <si>
    <t>TAG Lavandula Lavender Layla Blue Angustifolia 25/25 Portrait Tag</t>
  </si>
  <si>
    <t>TAG Lavandula Lavender Layla Presto Blue 25/25 Portrait Tag</t>
  </si>
  <si>
    <t>TAG Lavandula Lavender Madrid Blue 25/25 Portrait Tag</t>
  </si>
  <si>
    <t>TAG Lavandula Lavender Madrid Lavish Pink 25/25 Portrait Tag</t>
  </si>
  <si>
    <t>TAG Lavandula Lavender Madrid Lavish Purple 25/25 Portrait Tag</t>
  </si>
  <si>
    <t>TAG Lavandula Lavender Madrid Magnum Purple 25/25 Portrait Tag</t>
  </si>
  <si>
    <t>TAG Lavandula Lavender Madrid Purple 25/25 Portrait Tag</t>
  </si>
  <si>
    <t>TAG Lavandula Lavender Madrid Rose 25/25 Portrait Tag</t>
  </si>
  <si>
    <t>TAG Lavandula Lavender Meerlo Allardii 25/25 Portrait Tag</t>
  </si>
  <si>
    <t>TAG Lavandula Lavender Mini Blue 25/25 Portrait Tag</t>
  </si>
  <si>
    <t>TAG Lavandula Lavender Munstead 100/100 Pixie Tag</t>
  </si>
  <si>
    <t>TAG Lavandula Lavender Munstead 100/100 Pixie Tag DO FUL</t>
  </si>
  <si>
    <t>TAG Lavandula Lavender Munstead Angustifolia 100/100 Pixie Tag</t>
  </si>
  <si>
    <t>TAG Lavandula Lavender Munstead Angustifolia 25/25 Portrait Tag</t>
  </si>
  <si>
    <t>TAG Lavandula Lavender Otto Quast 100/100 Pixie Tag DO FUL</t>
  </si>
  <si>
    <t>TAG Lavandula Lavender Otto Quast 25/25 Portrait Tag</t>
  </si>
  <si>
    <t>TAG Lavandula Lavender LaDiva Papillion Lilac 100/100 Pixie Tag DO FUL</t>
  </si>
  <si>
    <t>TAG Lavandula Lavender LaDiva Papillion Purple 50/50 Petite Portrait DO FUL</t>
  </si>
  <si>
    <t>TAG Lavandula Lavender LaDiva Papillion Rose 50/50 Petite Portrait DO FUL</t>
  </si>
  <si>
    <t>TAG Lavandula Lavender Paris Blue Dentata 25/25 Portrait Tag</t>
  </si>
  <si>
    <t>TAG Lavandula Lavender Phenomenal 100/100 Pixie Tag DO FUL</t>
  </si>
  <si>
    <t>TAG Lavandula Lavender Pinnata 25/25 Portrait Tag</t>
  </si>
  <si>
    <t>TAG Lavandula Lavender Platinum Blonde 100/100 Pixie Tag DO FUL</t>
  </si>
  <si>
    <t>TAG Lavandula Lavender Platinum Blonde 25/25 Portrait Tag</t>
  </si>
  <si>
    <t>TAG Lavandula Lavender Primavera 25/25 Portrait Tag</t>
  </si>
  <si>
    <t>TAG Lavandula Lavender Provence 100/100 Pixie Tag</t>
  </si>
  <si>
    <t>TAG Lavandula Lavender Provence 100/100 Pixie Tag DO FUL</t>
  </si>
  <si>
    <t>TAG Lavandula Lavender Provence 25/25 Portrait Tag</t>
  </si>
  <si>
    <t>TAG Lavandula Lavender Ruffles Blueberry 100/100 Pixie Tag DO FUL</t>
  </si>
  <si>
    <t>TAG Lavandula Lavender Scent Blue Angustifolia 25/25 Portrait Tag</t>
  </si>
  <si>
    <t>TAG Lavandula Lavender Scent Blue Early 100/100 Pixie Tag</t>
  </si>
  <si>
    <t>TAG Lavandula Lavender Scent Blue Early 25/25 Portrait Tag</t>
  </si>
  <si>
    <t>TAG Lavandula Lavender Scent Early Blue And White Mix 25/25 Portrait Tag</t>
  </si>
  <si>
    <t>TAG Lavandula Lavender Sentivia Blue 25/25 Portrait Tag SF</t>
  </si>
  <si>
    <t>TAG Lavandula Lavender Sentivia Blue 50/50 Petite Portrait SF FUL</t>
  </si>
  <si>
    <t>TAG Lavandula Lavender Sentivia Early Blue 25/25 Portrait Tag SF</t>
  </si>
  <si>
    <t>TAG Lavandula Lavender Sentivia Early Blue 50/50 Petite Portrait SF FUL</t>
  </si>
  <si>
    <t>TAG Lavandula Lavender Sentivia Silver 50/50 Petite Portrait SF FUL</t>
  </si>
  <si>
    <t>TAG Lavandula Lavender Spanish Eyes 25/25 Portrait Tag</t>
  </si>
  <si>
    <t>TAG Lavandula Lavender Spanish French 100/100 Pixie Tag</t>
  </si>
  <si>
    <t>TAG Lavandula Lavender Spanish GENERIC 25/25 Portrait Tag</t>
  </si>
  <si>
    <t>TAG Lavandula Lavender SuperBlue Angustifolia 25/25 Portrait Tag</t>
  </si>
  <si>
    <t>TAG Lavandula Lavender SuperBlue 100/100 Pixie Tag DO FUL</t>
  </si>
  <si>
    <t>TAG Lavandula Lavender SuperBlue 50/50 Petite Portrait DO FUL</t>
  </si>
  <si>
    <t>TAG Lavandula Lavender Sweet Lavender 100/100 Pixie Tag</t>
  </si>
  <si>
    <t>TAG Lavandula Lavender Vera 100/100 Pixie Tag</t>
  </si>
  <si>
    <t>TAG Lavandula Lavender Vicenza Blue 25/25 Portrait Tag</t>
  </si>
  <si>
    <t>TAG Lavandula Lavender Vintro Blue Angustifolia 25/25 Portrait Tag SF</t>
  </si>
  <si>
    <t>TAG Lavandula Lavender Vintro Blue Forte 25/25 Portrait Tag SF</t>
  </si>
  <si>
    <t>TAG Lavandula Lavender Vintro Blue 50/50 Petite Portrait SF FUL</t>
  </si>
  <si>
    <t>TAG Lavandula Lavender Vintro White 50/50 Petite Portrait SF FUL</t>
  </si>
  <si>
    <t>TAG Lavandula Lavender Vintro White Angustifolia 25/25 Portrait Tag SF</t>
  </si>
  <si>
    <t>TAG Lavandula Lavender Violeta Purple XL 25/25 Portrait Tag SF</t>
  </si>
  <si>
    <t>TAG Leek 100/100 Pixie Tag</t>
  </si>
  <si>
    <t>TAG Lemon Balm Melissa GENERIC 100/100 Pixie Tag</t>
  </si>
  <si>
    <t>TAG Lemon Balm Melissa GENERIC 25/25 Portrait Tag</t>
  </si>
  <si>
    <t>TAG Leontopodium Alpinum 100/100 Pixie Tag</t>
  </si>
  <si>
    <t>TAG Leptinella Platt's Black Squalida 25/25 Portrait Tag</t>
  </si>
  <si>
    <t>TAG Lettuce Bauer 100/100 Pixie Tag</t>
  </si>
  <si>
    <t>TAG Lettuce Bistro Salad Blend 100/100 Pixie Tag</t>
  </si>
  <si>
    <t>TAG Lettuce Black Seeded Simpson 100/100 Pixie Tag</t>
  </si>
  <si>
    <t>TAG Lettuce Boston 100/100 Pixie Tag</t>
  </si>
  <si>
    <t>TAG Lettuce Buttercrunch 100/100 Pixie Tag</t>
  </si>
  <si>
    <t>TAG Lettuce Buttercrunch 200/200 Thriftee Tag</t>
  </si>
  <si>
    <t>TAG Lettuce Escarole 100/100 Pixie Tag</t>
  </si>
  <si>
    <t>TAG Lettuce Gourmet Bibb 100/100 Pixie Tag</t>
  </si>
  <si>
    <t>TAG Lettuce Gourmet Blend 100/100 Pixie Tag</t>
  </si>
  <si>
    <t>TAG Lettuce Gourmet Leaf 100/100 Pixie Tag</t>
  </si>
  <si>
    <t>TAG Lettuce Gourmet Red Leaf 100/100 Pixie Tag</t>
  </si>
  <si>
    <t>TAG Lettuce Gourmet Romaine 100/100 Pixie Tag</t>
  </si>
  <si>
    <t>TAG Lettuce Grand Rapids 100/100 Pixie Tag</t>
  </si>
  <si>
    <t>TAG Lettuce Great Lakes Head 100/100 Pixie Tag</t>
  </si>
  <si>
    <t>TAG Lettuce Green Oak Leaf 100/100 Pixie Tag</t>
  </si>
  <si>
    <t>TAG Lettuce Green Towers 100/100 Pixie Tag</t>
  </si>
  <si>
    <t>TAG Lettuce Head GENERIC 100/100 Pixie Tag</t>
  </si>
  <si>
    <t>TAG Lettuce Iceberg Head 100/100 Pixie Tag</t>
  </si>
  <si>
    <t>TAG Lettuce Ithaca 100/100 Pixie Tag</t>
  </si>
  <si>
    <t>TAG Lettuce Leaf GENERIC 100/100 Pixie Tag</t>
  </si>
  <si>
    <t>TAG Lettuce Mesclun Salad Mix 100/100 Pixie Tag</t>
  </si>
  <si>
    <t>TAG Lettuce Mini Greens Blend 100/100 Pixie Tag</t>
  </si>
  <si>
    <t>TAG Lettuce Parris Island Cos 100/100 Pixie Tag</t>
  </si>
  <si>
    <t>TAG Lettuce Radicchio 100/100 Pixie Tag</t>
  </si>
  <si>
    <t>TAG Lettuce Red Butterworth 100/100 Pixie Tag</t>
  </si>
  <si>
    <t>TAG Lettuce Red Fire 100/100 Pixie Tag</t>
  </si>
  <si>
    <t>TAG Lettuce Red Oak Leaf 100/100 Pixie Tag</t>
  </si>
  <si>
    <t>TAG Lettuce Red Sails 100/100 Pixie Tag</t>
  </si>
  <si>
    <t>TAG Lettuce Romaine 100/100 Pixie Tag</t>
  </si>
  <si>
    <t>TAG Lettuce Romaine 200/200 Thriftee Tag</t>
  </si>
  <si>
    <t>TAG Lettuce Romaine Red 100/100 Pixie Tag</t>
  </si>
  <si>
    <t>TAG Lettuce Royal Oak Leaf 100/100 Pixie Tag</t>
  </si>
  <si>
    <t>TAG Lettuce Ruby Leaf 100/100 Pixie Tag</t>
  </si>
  <si>
    <t>TAG Lettuce Ruby Red 100/100 Pixie Tag</t>
  </si>
  <si>
    <t>TAG Lettuce Salad Bowl 100/100 Pixie Tag</t>
  </si>
  <si>
    <t>TAG Lettuce Salad Bowl Red 100/100 Pixie Tag</t>
  </si>
  <si>
    <t>TAG Lettuce Salad Mix GENERIC 100/100 Pixie Tag</t>
  </si>
  <si>
    <t>TAG Lettuce Sandy 100/100 Pixie Tag</t>
  </si>
  <si>
    <t>TAG Lettuce Simpson Elite 100/100 Pixie Tag</t>
  </si>
  <si>
    <t>TAG Lettuce Simply Salad City Garden Blend 25/25 Portrait Tag</t>
  </si>
  <si>
    <t>TAG Lettuce SimplySalad Summer Picnic 25/25 Portrait Tag</t>
  </si>
  <si>
    <t>TAG Lettuce Summer Bibb 100/100 Pixie Tag</t>
  </si>
  <si>
    <t>TAG Lettuce Summertime 100/100 Pixie Tag</t>
  </si>
  <si>
    <t>TAG Lettuce Valley Heart 100/100 Pixie Tag</t>
  </si>
  <si>
    <t>TAG Lettuce Wildfire Mix 100/100 Pixie Tag</t>
  </si>
  <si>
    <t>TAG Leucanthemum Adorable 50/50 Petite Portrait DO FUL</t>
  </si>
  <si>
    <t>TAG Leucanthemum Alaska 100/100 Pixie Tag</t>
  </si>
  <si>
    <t>TAG Leucanthemum Alaska 25/25 Portrait Tag</t>
  </si>
  <si>
    <t>TAG Leucanthemum Angel Daisy 25/25 Portrait Tag</t>
  </si>
  <si>
    <t>TAG Leucanthemum Angel Daisy Carpet 25/25 Portrait Tag</t>
  </si>
  <si>
    <t>TAG Leucanthemum Angel Daisy Double 25/25 Portrait Tag</t>
  </si>
  <si>
    <t>TAG Leucanthemum Becky 100/100 Pixie Tag</t>
  </si>
  <si>
    <t>TAG Leucanthemum Becky 25/25 Portrait Tag</t>
  </si>
  <si>
    <t>TAG Leucanthemum Brightside 25/25 Portrait Tag</t>
  </si>
  <si>
    <t>TAG Leucanthemum Coconut 25/25 Portrait Tag</t>
  </si>
  <si>
    <t>TAG Leucanthemum Coconut 50/50 Petite Portrait DO FUL</t>
  </si>
  <si>
    <t>TAG Leucanthemum Crazy Daisy 25/25 Portrait Tag</t>
  </si>
  <si>
    <t>TAG Leucanthemum Darling Daisy 25/25 Portrait Tag</t>
  </si>
  <si>
    <t>TAG Leucanthemum Darling Daisy Double 25/25 Portrait Tag</t>
  </si>
  <si>
    <t>TAG Leucanthemum Darling Daisy Supreme 25/25 Portrait Tag</t>
  </si>
  <si>
    <t>TAG Leucanthemum Freak 25/25 Portrait Tag</t>
  </si>
  <si>
    <t>TAG Leucanthemum Goldfinch 25/25 Portrait Tag</t>
  </si>
  <si>
    <t>TAG Leucanthemum Ice Cream Dream 25/25 Portrait Tag</t>
  </si>
  <si>
    <t>TAG Leucanthemum Kilimanjaro 25/25 Portrait Tag</t>
  </si>
  <si>
    <t>TAG Leucanthemum Lancaster Betsy 25/25 Portrait Tag</t>
  </si>
  <si>
    <t>TAG Leucanthemum Lemon Puff 25/25 Portrait Tag</t>
  </si>
  <si>
    <t>TAG Leucanthemum Lucille Chic 25/25 Portrait Tag</t>
  </si>
  <si>
    <t>TAG Leucanthemum Lucille Grace 25/25 Portrait Tag</t>
  </si>
  <si>
    <t>TAG Leucanthemum Lucille White 25/25 Portrait Tag</t>
  </si>
  <si>
    <t>TAG Leucanthemum Macaroon 25/25 Portrait Tag</t>
  </si>
  <si>
    <t>TAG Leucanthemum Madonna 25/25 Portrait Tag</t>
  </si>
  <si>
    <t>TAG Leucanthemum Make My Daisy Crazy 25/25 Portrait Tag</t>
  </si>
  <si>
    <t>TAG Leucanthemum Make My Daisy Happy 25/25 Portrait Tag</t>
  </si>
  <si>
    <t>TAG Leucanthemum Marconi 25/25 Portrait Tag</t>
  </si>
  <si>
    <t>TAG Leucanthemum Mount Hood 25/25 Portrait Tag</t>
  </si>
  <si>
    <t>TAG Leucanthemum Ooh La Laspider 25/25 Portrait Tag</t>
  </si>
  <si>
    <t>TAG Leucanthemum Real Charmer 100/100 Pixie Tag DO FUL</t>
  </si>
  <si>
    <t>TAG Leucanthemum Real Dream 100/100 Pixie Tag DO FUL</t>
  </si>
  <si>
    <t>TAG Leucanthemum Real Galaxy 100/100 Pixie Tag DO FUL</t>
  </si>
  <si>
    <t>TAG Leucanthemum Real Glory 100/100 Pixie Tag DO FUL</t>
  </si>
  <si>
    <t>TAG Leucanthemum Real Neat 100/100 Pixie Tag DO FUL</t>
  </si>
  <si>
    <t>TAG Leucanthemum Real Sunbeam 100/100 Pixie Tag DO FUL</t>
  </si>
  <si>
    <t>TAG Leucanthemum Seventh Heaven 25/25 Portrait Tag</t>
  </si>
  <si>
    <t>TAG Leucanthemum Shasta Daisy GENERIC 25/25 Portrait Tag</t>
  </si>
  <si>
    <t>TAG Leucanthemum Silver Princess 100/100 Pixie Tag</t>
  </si>
  <si>
    <t>TAG Leucanthemum Silver Princess 25/25 Portrait Tag</t>
  </si>
  <si>
    <t>TAG Leucanthemum Snow Lady 100/100 Pixie Tag</t>
  </si>
  <si>
    <t>TAG Leucanthemum Snow Lady 25/25 Portrait Tag</t>
  </si>
  <si>
    <t>TAG Leucanthemum Snowcap 100/100 Pixie Tag DO FUL</t>
  </si>
  <si>
    <t>TAG Leucanthemum Snowcap 25/25 Portrait Tag</t>
  </si>
  <si>
    <t>TAG Leucanthemum Sunshine Freak 25/25 Portrait Tag</t>
  </si>
  <si>
    <t>TAG Leucanthemum Sweet Daisy Birdy 100/100 Pixie Tag DO FUL</t>
  </si>
  <si>
    <t>TAG Leucanthemum Sweet Daisy Cher 100/100 Pixie Tag DO FUL</t>
  </si>
  <si>
    <t>TAG Leucanthemum Sweet Daisy Christine 100/100 Pixie Tag DO FUL</t>
  </si>
  <si>
    <t>TAG Leucanthemum Sweet Daisy Izabel 100/100 Pixie Tag DO FUL</t>
  </si>
  <si>
    <t>TAG Leucanthemum Sweet Daisy Jane 100/100 Pixie Tag DO FUL</t>
  </si>
  <si>
    <t>TAG Leucanthemum Sweet Daisy Rebecca 100/100 Pixie Tag DO FUL</t>
  </si>
  <si>
    <t>TAG Leucanthemum Sweet Daisy Rebecca 50/50 Petite Portrait DO FUL</t>
  </si>
  <si>
    <t>TAG Leucanthemum Sweet Daisy Shelly 100/100 Pixie Tag DO FUL</t>
  </si>
  <si>
    <t>TAG Leucanthemum Sweet Daisy Sofie 100/100 Pixie Tag DO FUL</t>
  </si>
  <si>
    <t>TAG Leucanthemum Sweet Daisy Sofie 50/50 Petite Portrait DO FUL</t>
  </si>
  <si>
    <t>TAG Leucanthemum Victorian Secret 25/25 Portrait Tag</t>
  </si>
  <si>
    <t>TAG Leucanthemum Western Star Gemini 25/25 Portrait Tag SF</t>
  </si>
  <si>
    <t>TAG Leucanthemum Western Star Gemini 50/50 Petite Portrait SF FUL</t>
  </si>
  <si>
    <t>TAG Leucanthemum Western Star Leo 25/25 Portrait Tag SF</t>
  </si>
  <si>
    <t>TAG Leucanthemum Western Star Leo 50/50 Petite Portrait SF FUL</t>
  </si>
  <si>
    <t>TAG Leucanthemum Western Star Libra 25/25 Portrait Tag SF</t>
  </si>
  <si>
    <t>TAG Leucanthemum Western Star Libra 50/50 Petite Portrait SF FUL</t>
  </si>
  <si>
    <t>TAG Leucanthemum Western Star Pisces 25/25 Portrait Tag SF</t>
  </si>
  <si>
    <t>TAG Leucanthemum Western Star Taurus 25/25 Portrait Tag SF</t>
  </si>
  <si>
    <t>TAG Leucanthemum Western Star Taurus 50/50 Petite Portrait SF FUL</t>
  </si>
  <si>
    <t>TAG Leucanthemum White Breeze 25/25 Portrait Tag</t>
  </si>
  <si>
    <t>TAG Leucanthemum White Lion 25/25 Portrait Tag</t>
  </si>
  <si>
    <t>TAG Leucanthemum White Magic 25/25 Portrait Tag</t>
  </si>
  <si>
    <t>TAG Leucanthemum White Mountain 25/25 Portrait Tag</t>
  </si>
  <si>
    <t>TAG Leucanthemum Whitecap 25/25 Portrait Tag</t>
  </si>
  <si>
    <t>TAG Levisticum Lovage 25/25 Portrait Tag</t>
  </si>
  <si>
    <t>TAG Lewisia Elise Golden Yellow 25/25 Portrait Tag</t>
  </si>
  <si>
    <t>TAG Lewisia Elise Mix Cotyledon 25/25 Portrait Tag</t>
  </si>
  <si>
    <t>TAG Lewisia Elise Ruby Red Cotyledon 25/25 Portrait Tag</t>
  </si>
  <si>
    <t>TAG Lewisia Elise Ultra Violet 25/25 Portrait Tag</t>
  </si>
  <si>
    <t>TAG Lewisia GENERIC 25/25 Portrait Tag</t>
  </si>
  <si>
    <t>TAG Lewisia Special Mix Cotyledon 25/25 Portrait Tag</t>
  </si>
  <si>
    <t>TAG Lewisia Sunset Strain Cotyledon 25/25 Portrait Tag</t>
  </si>
  <si>
    <t>TAG Liatris Floristan Violet Spicata 25/25 Portrait Tag</t>
  </si>
  <si>
    <t>TAG Liatris Floristan White Spicata 25/25 Portrait Tag</t>
  </si>
  <si>
    <t>TAG Liatris GENERIC 100/100 Pixie Tag</t>
  </si>
  <si>
    <t>TAG Liatris GENERIC 25/25 Portrait Tag</t>
  </si>
  <si>
    <t>TAG Liatris Kobold Spicata 100/100 Pixie Tag</t>
  </si>
  <si>
    <t>TAG Liatris Kobold Spicata 25/25 Portrait Tag</t>
  </si>
  <si>
    <t>TAG Liatris Purple 25/25 Portrait Tag</t>
  </si>
  <si>
    <t>TAG Ligularia Little Rocket 25/25 Portrait Tag</t>
  </si>
  <si>
    <t>TAG Ligularia Othello Dentata 25/25 Portrait Tag</t>
  </si>
  <si>
    <t>TAG Ligularia The Rocket Stenocephala 25/25 Portrait Tag</t>
  </si>
  <si>
    <t>TAG Lilium Asiatic GENERIC 25/25 Portrait Tag</t>
  </si>
  <si>
    <t>TAG Lilium Easter Lily 100/100 Pixie Tag</t>
  </si>
  <si>
    <t>TAG Lilium Matrix 25/25 Portrait Tag</t>
  </si>
  <si>
    <t>TAG Lilium Orange Asiatic 25/25 Portrait Tag</t>
  </si>
  <si>
    <t>TAG Lilium Oriental GENERIC 25/25 Portrait Tag</t>
  </si>
  <si>
    <t>TAG Lilium Oriental Lily GENERIC 100/100 Pixie Tag</t>
  </si>
  <si>
    <t>TAG Lilium Pink Asiatic 25/25 Portrait Tag</t>
  </si>
  <si>
    <t>TAG Lilium Yellow Asiatic 25/25 Portrait Tag</t>
  </si>
  <si>
    <t>TAG Limonium Fortress Dark Blue 100/100 Pixie Tag</t>
  </si>
  <si>
    <t>TAG Limonium Fortress Mix 100/100 Pixie Tag</t>
  </si>
  <si>
    <t>TAG Limonium Perezii 100/100 Pixie Tag</t>
  </si>
  <si>
    <t>TAG Limonium Qis Series 100/100 Pixie Tag</t>
  </si>
  <si>
    <t>TAG Limonium Sea Lavender Purple Latifolium 25/25 Portrait Tag</t>
  </si>
  <si>
    <t>TAG Limonium Statice GENERIC 100/100 Pixie Tag</t>
  </si>
  <si>
    <t>TAG Linaria Fantasista Series 100/100 Pixie Tag</t>
  </si>
  <si>
    <t>TAG Linaria Fantasy Mix 100/100 Pixie Tag</t>
  </si>
  <si>
    <t>TAG Lindernia 25/25 Portrait Tag</t>
  </si>
  <si>
    <t>TAG Linum Blue Perenne 100/100 Pixie Tag</t>
  </si>
  <si>
    <t>TAG Linum Sapphire Perenne 25/25 Portrait Tag</t>
  </si>
  <si>
    <t>TAG Liriope Big Blue Muscari 100/100 Pixie Tag</t>
  </si>
  <si>
    <t>TAG Liriope Big Blue Muscari 25/25 Portrait Tag</t>
  </si>
  <si>
    <t>TAG Liriope Silver Dragon Spicata 25/25 Portrait Tag</t>
  </si>
  <si>
    <t>TAG Liriope Spicata 100/100 Pixie Tag</t>
  </si>
  <si>
    <t>TAG Liriope Variegata Muscari 25/25 Portrait Tag</t>
  </si>
  <si>
    <t>TAG Lisianthus Doublini Series 100/100 Pixie Tag</t>
  </si>
  <si>
    <t>TAG Lisianthus Florida Blue 100/100 Pixie Tag</t>
  </si>
  <si>
    <t>TAG Lisianthus Florida Pink 100/100 Pixie Tag</t>
  </si>
  <si>
    <t>TAG Lisianthus Forever Blue 100/100 Pixie Tag</t>
  </si>
  <si>
    <t>TAG Lisianthus GENERIC 100/100 Pixie Tag</t>
  </si>
  <si>
    <t>TAG Lisianthus Julietta Series 100/100 Pixie Tag</t>
  </si>
  <si>
    <t>TAG Lisianthus Rosita Series 100/100 Pixie Tag</t>
  </si>
  <si>
    <t>TAG Lithodora Blue Star 100/100 Pixie Tag DO FUL</t>
  </si>
  <si>
    <t>TAG Lithodora Grace Ward 100/100 Pixie Tag DO FUL</t>
  </si>
  <si>
    <t>TAG Lithodora Grace Ward 25/25 Portrait Tag</t>
  </si>
  <si>
    <t>TAG Lithodora Heavenly Blue 100/100 Pixie Tag DO FUL</t>
  </si>
  <si>
    <t>TAG Lithodora Heavenly Blue 25/25 Portrait Tag</t>
  </si>
  <si>
    <t>TAG Lithodora Lithodora 25/25 Portrait Tag</t>
  </si>
  <si>
    <t>TAG Lithodora Tidepool Light Blue 25/25 Portrait Tag</t>
  </si>
  <si>
    <t>TAG Lithodora Tidepool Sky Blue 25/25 Portrait Tag SF</t>
  </si>
  <si>
    <t>TAG Lobelia Anabel Brilliant Blue 100/100 Pixie Tag</t>
  </si>
  <si>
    <t>TAG Lobelia Bella Acqua 50/50 Petite Portrait DO FUL</t>
  </si>
  <si>
    <t>TAG Lobelia Bella Azure 50/50 Petite Portrait DO FUL</t>
  </si>
  <si>
    <t>TAG Lobelia Bella Bianca 50/50 Petite Portrait DO FUL</t>
  </si>
  <si>
    <t>TAG Lobelia Bella Cielo Lobelia 50/50 Petite Portrait DO FUL</t>
  </si>
  <si>
    <t>TAG Lobelia Bella Mare 50/50 Petite Portrait DO FUL</t>
  </si>
  <si>
    <t>TAG Lobelia Bella Oceano 50/50 Petite Portrait DO FUL</t>
  </si>
  <si>
    <t>TAG Lobelia Bella Rosa 50/50 Petite Portrait DO FUL</t>
  </si>
  <si>
    <t>TAG Lobelia Blue GENERIC 100/100 Pixie Tag</t>
  </si>
  <si>
    <t>TAG Lobelia Blue And White Bicolor GENERIC 100/100 Pixie Tag</t>
  </si>
  <si>
    <t>TAG Lobelia Cambridge Blue 100/100 Pixie Tag</t>
  </si>
  <si>
    <t>TAG Lobelia Cardinalis 100/100 Pixie Tag</t>
  </si>
  <si>
    <t>TAG Lobelia Cardinalis 25/25 Portrait Tag</t>
  </si>
  <si>
    <t>TAG Lobelia Cascade Color 100/100 Pixie Tag</t>
  </si>
  <si>
    <t>TAG Lobelia Star Cobalt Star 50/50 Petite Portrait DO FUL</t>
  </si>
  <si>
    <t>TAG Lobelia Crystal Palace 100/100 Pixie Tag</t>
  </si>
  <si>
    <t>TAG Lobelia Star Deep Blue Star 50/50 Petite Portrait DO FUL</t>
  </si>
  <si>
    <t>TAG Lobelia Fan Scarlet Speciosa 25/25 Portrait Tag</t>
  </si>
  <si>
    <t>TAG Lobelia Glow Blue Volt 100/100 Pixie Tag</t>
  </si>
  <si>
    <t>TAG Lobelia Glow Electric Blue 100/100 Pixie Tag</t>
  </si>
  <si>
    <t>TAG Lobelia Glow White Lightning 100/100 Pixie Tag</t>
  </si>
  <si>
    <t>TAG Lobelia Lobelia GENERIC 100/100 Hang Tag</t>
  </si>
  <si>
    <t>TAG Lobelia Bilingual GENERIC 100/100 Pixie Tag</t>
  </si>
  <si>
    <t>TAG Lobelia Hot Aqua 100/100 Pixie Tag</t>
  </si>
  <si>
    <t>TAG Lobelia Hot Bavaria 100/100 Pixie Tag</t>
  </si>
  <si>
    <t>TAG Lobelia Hot Bavaria 50/50 Petite Portrait DO FUL</t>
  </si>
  <si>
    <t>TAG Lobelia Hot Blue 100/100 Pixie Tag</t>
  </si>
  <si>
    <t>TAG Lobelia Hot Blue 50/50 Petite Portrait DO FUL</t>
  </si>
  <si>
    <t>TAG Lobelia Hot Blue With Eye 100/100 Pixie Tag</t>
  </si>
  <si>
    <t>TAG Lobelia Hot Brilliant Blue 100/100 Pixie Tag</t>
  </si>
  <si>
    <t>TAG Lobelia Hot Brilliant Blue 50/50 Petite Portrait DO FUL</t>
  </si>
  <si>
    <t>TAG Lobelia Hot Dark Blue 100/100 Pixie Tag</t>
  </si>
  <si>
    <t>TAG Lobelia Hot Electric Purple 100/100 Pixie Tag</t>
  </si>
  <si>
    <t>TAG Lobelia Hot Giant Blue 100/100 Pixie Tag</t>
  </si>
  <si>
    <t>TAG Lobelia Hot Giant Blue 50/50 Petite Portrait DO FUL</t>
  </si>
  <si>
    <t>TAG Lobelia Hot Plus Aqua 50/50 Petite Portrait DO FUL</t>
  </si>
  <si>
    <t>TAG Lobelia Hot Plus Blue With Eye 50/50 Petite Portrait DO FUL</t>
  </si>
  <si>
    <t>TAG Lobelia Hot Plus Dark Blue With Eye 50/50 Petite Portrait DO FUL</t>
  </si>
  <si>
    <t>TAG Lobelia Hot Plus Pretty Heaven 50/50 Petite Portrait DO FUL</t>
  </si>
  <si>
    <t>TAG Lobelia Hot Plus Rose 50/50 Petite Portrait DO FUL</t>
  </si>
  <si>
    <t>TAG Lobelia Hot Plus White 50/50 Petite Portrait DO FUL</t>
  </si>
  <si>
    <t>TAG Lobelia HotpoT Series 100/100 Pixie Tag</t>
  </si>
  <si>
    <t>TAG Lobelia Hot Pretty Heaven 100/100 Pixie Tag</t>
  </si>
  <si>
    <t>TAG Lobelia Hot Purple 100/100 Pixie Tag</t>
  </si>
  <si>
    <t>TAG Lobelia Hot Purple 50/50 Petite Portrait DO FUL</t>
  </si>
  <si>
    <t>TAG Lobelia Hot Royal Blue 100/100 Pixie Tag</t>
  </si>
  <si>
    <t>TAG Lobelia Hot Royal Blue 50/50 Petite Portrait DO FUL</t>
  </si>
  <si>
    <t>TAG Lobelia Hot Series 100/100 Pixie Tag</t>
  </si>
  <si>
    <t>TAG Lobelia Hot Snow White 100/100 Pixie Tag</t>
  </si>
  <si>
    <t>TAG Lobelia Hot Snow White 50/50 Petite Portrait DO FUL</t>
  </si>
  <si>
    <t>TAG Lobelia Hot Tiger 100/100 Pixie Tag</t>
  </si>
  <si>
    <t>TAG Lobelia Hot Tiger Eyes 50/50 Petite Portrait DO FUL</t>
  </si>
  <si>
    <t>TAG Lobelia Hot Waterblue 100/100 Pixie Tag</t>
  </si>
  <si>
    <t>TAG Lobelia Hot Waterblue 50/50 Petite Portrait DO FUL</t>
  </si>
  <si>
    <t>TAG Lobelia Hot White 100/100 Pixie Tag</t>
  </si>
  <si>
    <t>TAG Lobelia Lobelix Series 100/100 Pixie Tag</t>
  </si>
  <si>
    <t>TAG Lobelia Masterpiece Blue With Eye 100/100 Pixie Tag</t>
  </si>
  <si>
    <t>TAG Lobelia Palace Blue 100/100 Pixie Tag</t>
  </si>
  <si>
    <t>TAG Lobelia Palace Blue With White Eye 100/100 Pixie Tag</t>
  </si>
  <si>
    <t>TAG Lobelia Palace Royal 100/100 Pixie Tag</t>
  </si>
  <si>
    <t>TAG Lobelia Palace Sky Blue 100/100 Pixie Tag</t>
  </si>
  <si>
    <t>TAG Lobelia Palace White 100/100 Pixie Tag</t>
  </si>
  <si>
    <t>TAG Lobelia Queen Victoria 25/25 Portrait Tag</t>
  </si>
  <si>
    <t>TAG Lobelia Regatta Blue Splash 100/100 Pixie Tag</t>
  </si>
  <si>
    <t>TAG Lobelia Regatta Lilac 100/100 Pixie Tag</t>
  </si>
  <si>
    <t>TAG Lobelia Regatta Marine Blue 100/100 Pixie Tag</t>
  </si>
  <si>
    <t>TAG Lobelia Regatta Midnight Blue 100/100 Pixie Tag</t>
  </si>
  <si>
    <t>TAG Lobelia Regatta Mix 100/100 Pixie Tag</t>
  </si>
  <si>
    <t>TAG Lobelia Regatta Rose 100/100 Pixie Tag</t>
  </si>
  <si>
    <t>TAG Lobelia Regatta Sapphire 100/100 Pixie Tag</t>
  </si>
  <si>
    <t>TAG Lobelia Regatta Sky Blue 100/100 Pixie Tag</t>
  </si>
  <si>
    <t>TAG Lobelia Regatta White 100/100 Pixie Tag</t>
  </si>
  <si>
    <t>TAG Lobelia Rift Blue 100/100 Pixie Tag</t>
  </si>
  <si>
    <t>TAG Lobelia Rift Blue 50/50 Petite Portrait DO FUL</t>
  </si>
  <si>
    <t>TAG Lobelia Rift Great Mix 100/100 Pixie Tag</t>
  </si>
  <si>
    <t>TAG Lobelia Rift Purple 100/100 Pixie Tag</t>
  </si>
  <si>
    <t>TAG Lobelia Rift Purple 50/50 Petite Portrait DO FUL</t>
  </si>
  <si>
    <t>TAG Lobelia Riviera Blue Eyes 100/100 Pixie Tag</t>
  </si>
  <si>
    <t>TAG Lobelia Riviera Blue Splash 100/100 Pixie Tag</t>
  </si>
  <si>
    <t>TAG Lobelia Riviera Lilac 100/100 Pixie Tag</t>
  </si>
  <si>
    <t>TAG Lobelia Riviera Marine Blue 100/100 Pixie Tag</t>
  </si>
  <si>
    <t>TAG Lobelia Riviera Midnight Blue 100/100 Pixie Tag</t>
  </si>
  <si>
    <t>TAG Lobelia Riviera Mix 100/100 Pixie Tag</t>
  </si>
  <si>
    <t>TAG Lobelia Riviera Rose 100/100 Pixie Tag</t>
  </si>
  <si>
    <t>TAG Lobelia Riviera Sky Blue 100/100 Pixie Tag</t>
  </si>
  <si>
    <t>TAG Lobelia Riviera White 100/100 Pixie Tag</t>
  </si>
  <si>
    <t>TAG Lobelia Sailor 100/100 Pixie Tag</t>
  </si>
  <si>
    <t>TAG Lobelia Star Sailor Star 50/50 Petite Portrait DO FUL</t>
  </si>
  <si>
    <t>TAG Lobelia Siphilitica 25/25 Portrait Tag</t>
  </si>
  <si>
    <t>TAG Lobelia Sky Blue GENERIC 100/100 Pixie Tag</t>
  </si>
  <si>
    <t>TAG Lobelia Star Blue 100/100 Pixie Tag</t>
  </si>
  <si>
    <t>TAG Lobelia Star Cobalt 100/100 Pixie Tag</t>
  </si>
  <si>
    <t>TAG Lobelia Star Crocus 100/100 Pixie Tag</t>
  </si>
  <si>
    <t>TAG Lobelia Star Deep Blue 100/100 Pixie Tag</t>
  </si>
  <si>
    <t>TAG Lobelia Star Purple 100/100 Pixie Tag</t>
  </si>
  <si>
    <t>TAG Lobelia Star Superstar 100/100 Pixie Tag</t>
  </si>
  <si>
    <t>TAG Lobelia Star White 100/100 Pixie Tag</t>
  </si>
  <si>
    <t>TAG Lobelia Starship Blue Speciosa 25/25 Portrait Tag</t>
  </si>
  <si>
    <t>TAG Lobelia Starship Burgundy Speciosa 25/25 Portrait Tag</t>
  </si>
  <si>
    <t>TAG Lobelia Starship Deep Rose Speciosa 25/25 Portrait Tag</t>
  </si>
  <si>
    <t>TAG Lobelia Starship Rose Speciosa 25/25 Portrait Tag</t>
  </si>
  <si>
    <t>TAG Lobelia Starship Scarlet Bronze Leaf 25/25 Portrait Tag</t>
  </si>
  <si>
    <t>TAG Lobelia Starship Scarlet Speciosa 25/25 Portrait Tag</t>
  </si>
  <si>
    <t>TAG Lobelia Stratus Blue 100/100 Pixie Tag</t>
  </si>
  <si>
    <t>TAG Lobelia Star Super Star 50/50 Petite Portrait DO FUL</t>
  </si>
  <si>
    <t>TAG Lobelia Techno Blue 50/50 Petite Portrait SF FUL</t>
  </si>
  <si>
    <t>TAG Lobelia Techno Cobalt Blue 50/50 Petite Portrait SF FUL</t>
  </si>
  <si>
    <t>TAG Lobelia Techno Dark Blue 50/50 Petite Portrait SF FUL</t>
  </si>
  <si>
    <t>TAG Lobelia Techno Deep Blue With Eye 50/50 Petite Portrait SF FUL</t>
  </si>
  <si>
    <t>TAG Lobelia Techno Electric Blue 50/50 Petite Portrait SF FUL</t>
  </si>
  <si>
    <t>TAG Lobelia Techno Heat Dark Blue 50/50 Petite Portrait SF FUL</t>
  </si>
  <si>
    <t>TAG Lobelia Techno Heat Electric Blue 50/50 Petite Portrait SF FUL</t>
  </si>
  <si>
    <t>TAG Lobelia Techno Heat Upright Purple 50/50 Petite Portrait SF FUL</t>
  </si>
  <si>
    <t>TAG Lobelia Techno Large Blue Violet 50/50 Petite Portrait SF FUL</t>
  </si>
  <si>
    <t>TAG Lobelia Techno Light Blue 50/50 Petite Portrait SF FUL</t>
  </si>
  <si>
    <t>TAG Lobelia Techno Lilac Improved 50/50 Petite Portrait SF FUL</t>
  </si>
  <si>
    <t>TAG Lobelia Techno Upright Blue 50/50 Petite Portrait SF FUL</t>
  </si>
  <si>
    <t>TAG Lobelia Techno Upright Cobalt Blue 50/50 Petite Portrait SF FUL</t>
  </si>
  <si>
    <t>TAG Lobelia Techno Upright Dark Blue 50/50 Petite Portrait SF FUL</t>
  </si>
  <si>
    <t>TAG Lobelia Techno Upright Delft Blue 50/50 Petite Portrait SF FUL</t>
  </si>
  <si>
    <t>TAG Lobelia Techno Upright Light Blue 50/50 Petite Portrait SF FUL</t>
  </si>
  <si>
    <t>TAG Lobelia Techno Upright Purple 50/50 Petite Portrait SF FUL</t>
  </si>
  <si>
    <t>TAG Lobelia Techno Upright White 50/50 Petite Portrait SF FUL</t>
  </si>
  <si>
    <t>TAG Lobelia Techno Violet 50/50 Petite Portrait SF FUL</t>
  </si>
  <si>
    <t>TAG Lobelia Techno White 50/50 Petite Portrait SF FUL</t>
  </si>
  <si>
    <t>TAG Lobelia Trailing GENERIC 100/100 Pixie Tag</t>
  </si>
  <si>
    <t>TAG Lobelia Trailing Sapphire 100/100 Pixie Tag</t>
  </si>
  <si>
    <t>TAG Lobelia Vulcan Red Speciosa 25/25 Portrait Tag</t>
  </si>
  <si>
    <t>TAG Lobelia White GENERIC 100/100 Pixie Tag</t>
  </si>
  <si>
    <t>TAG Lobelia White Lady 100/100 Pixie Tag</t>
  </si>
  <si>
    <t>TAG Lobelia Zuni Scarlet 25/25 Portrait Tag</t>
  </si>
  <si>
    <t>TAG Lobularia Alice White 100/100 Pixie Tag</t>
  </si>
  <si>
    <t>TAG Lobularia Alyssum Bilingual 100/100 Pixie Tag</t>
  </si>
  <si>
    <t>TAG Lobularia Blue Lavender Shades GENERIC 100/100 Pixie Tag</t>
  </si>
  <si>
    <t>TAG Lobularia Blueberry Muffin Mix 100/100 Pixie Tag</t>
  </si>
  <si>
    <t>TAG Lobularia Carpet Of Snow 100/100 Pixie Tag</t>
  </si>
  <si>
    <t>TAG Lobularia Clear Crystal Lavender Shades 100/100 Pixie Tag</t>
  </si>
  <si>
    <t>TAG Lobularia Clear Crystal Mixture 100/100 Pixie Tag</t>
  </si>
  <si>
    <t>TAG Lobularia Clear Crystal Purple Shades 100/100 Pixie Tag</t>
  </si>
  <si>
    <t>TAG Lobularia Clear Crystal White 100/100 Pixie Tag</t>
  </si>
  <si>
    <t>TAG Lobularia Easter Basket Mix 100/100 Pixie Tag</t>
  </si>
  <si>
    <t>TAG Lobularia Easter Bonnet Deep Pink 100/100 Pixie Tag</t>
  </si>
  <si>
    <t>TAG Lobularia Easter Bonnet Deep Rose 100/100 Pixie Tag</t>
  </si>
  <si>
    <t>TAG Lobularia Easter Bonnet Lavender 100/100 Pixie Tag</t>
  </si>
  <si>
    <t>TAG Lobularia Easter Bonnet Lemonade 100/100 Pixie Tag</t>
  </si>
  <si>
    <t>TAG Lobularia Easter Bonnet Mix 100/100 Pixie Tag</t>
  </si>
  <si>
    <t>TAG Lobularia Easter Bonnet Pastel Mix 100/100 Pixie Tag</t>
  </si>
  <si>
    <t>TAG Lobularia Easter Bonnet Peach 100/100 Pixie Tag</t>
  </si>
  <si>
    <t>TAG Lobularia Easter Bonnet Violet 100/100 Pixie Tag</t>
  </si>
  <si>
    <t>TAG Lobularia Easter Bonnet White 100/100 Pixie Tag</t>
  </si>
  <si>
    <t>TAG Lobularia Marineland Frosty Lavender 100/100 Pixie Tag</t>
  </si>
  <si>
    <t>TAG Lobularia Marineland Lavender 100/100 Pixie Tag</t>
  </si>
  <si>
    <t>TAG Lobularia Marineland Pink 100/100 Pixie Tag</t>
  </si>
  <si>
    <t>TAG Lobularia Marineland White 100/100 Pixie Tag</t>
  </si>
  <si>
    <t>TAG Lobularia North Face 100/100 Pixie Tag</t>
  </si>
  <si>
    <t>TAG Lobularia Pastel Mix GENERIC 100/100 Pixie Tag</t>
  </si>
  <si>
    <t>TAG Lobularia Pink GENERIC 100/100 Pixie Tag</t>
  </si>
  <si>
    <t>TAG Lobularia Purple GENERIC 100/100 Pixie Tag</t>
  </si>
  <si>
    <t>TAG Lobularia Snow Crystals 100/100 Pixie Tag</t>
  </si>
  <si>
    <t>TAG Lobularia Stream Compact Purple 100/100 Pixie Tag</t>
  </si>
  <si>
    <t>TAG Lobularia Stream Compact Rose 100/100 Pixie Tag</t>
  </si>
  <si>
    <t>TAG Lobularia Stream Compact White 100/100 Pixie Tag</t>
  </si>
  <si>
    <t>TAG Lobularia Stream Deep Lavender 100/100 Pixie Tag</t>
  </si>
  <si>
    <t>TAG Lobularia Stream Lavender 100/100 Pixie Tag</t>
  </si>
  <si>
    <t>TAG Lobularia Stream Lilac 100/100 Pixie Tag</t>
  </si>
  <si>
    <t>TAG Lobularia Stream Purple 100/100 Pixie Tag</t>
  </si>
  <si>
    <t>TAG Lobularia Stream Raspberry 100/100 Pixie Tag</t>
  </si>
  <si>
    <t>TAG Lobularia Stream Silver 100/100 Pixie Tag</t>
  </si>
  <si>
    <t>TAG Lobularia Stream White 100/100 Pixie Tag</t>
  </si>
  <si>
    <t>TAG Lobularia White GENERIC 100/100 Pixie Tag</t>
  </si>
  <si>
    <t>TAG Lobularia Wonderland Blue 100/100 Pixie Tag</t>
  </si>
  <si>
    <t>TAG Lobularia Wonderland Deep Purple 100/100 Pixie Tag</t>
  </si>
  <si>
    <t>TAG Lobularia Wonderland Deep Rose 100/100 Pixie Tag</t>
  </si>
  <si>
    <t>TAG Lobularia Wonderland Giga White 100/100 Pixie Tag</t>
  </si>
  <si>
    <t>TAG Lobularia Wonderland Lavender 100/100 Pixie Tag</t>
  </si>
  <si>
    <t>TAG Lobularia Wonderland Mix 100/100 Pixie Tag</t>
  </si>
  <si>
    <t>TAG Lobularia Wonderland Mulberry Mix 100/100 Pixie Tag</t>
  </si>
  <si>
    <t>TAG Lobularia Wonderland Pink 100/100 Pixie Tag</t>
  </si>
  <si>
    <t>TAG Lobularia Wonderland Purple 100/100 Pixie Tag</t>
  </si>
  <si>
    <t>TAG Lobularia Wonderland Rose 100/100 Pixie Tag</t>
  </si>
  <si>
    <t>TAG Lobularia Wonderland White 100/100 Pixie Tag</t>
  </si>
  <si>
    <t>TAG Lobularia Yolo French Vanilla 50/50 Petite Portrait DO FUL</t>
  </si>
  <si>
    <t>TAG Lobularia Yolo Lavender 50/50 Petite Portrait DO FUL</t>
  </si>
  <si>
    <t>TAG Lobularia Yolo Pink 50/50 Petite Portrait DO FUL</t>
  </si>
  <si>
    <t>TAG Lobularia Yolo Top Lavender 50/50 Petite Portrait DO FUL</t>
  </si>
  <si>
    <t>TAG Lobularia Yolo Top Pink 50/50 Petite Portrait DO FUL</t>
  </si>
  <si>
    <t>TAG Lobularia Yolo Top Purple 50/50 Petite Portrait DO FUL</t>
  </si>
  <si>
    <t>TAG Lobularia Yolo Top White 50/50 Petite Portrait DO FUL</t>
  </si>
  <si>
    <t>TAG Lobularia Yolo White 50/50 Petite Portrait DO FUL</t>
  </si>
  <si>
    <t>TAG Lotus Berthelotii 100/100 Pixie Tag</t>
  </si>
  <si>
    <t>TAG Lotus Parrot's Beak 50/50 Petite Portrait DO FUL</t>
  </si>
  <si>
    <t>TAG Lotus Parrot's Beak Maculata 100/100 Pixie Tag</t>
  </si>
  <si>
    <t>TAG Lotus Vine GENERIC 100/100 Pixie Tag</t>
  </si>
  <si>
    <t>TAG Lovage GENERIC 100/100 Pixie Tag</t>
  </si>
  <si>
    <t>TAG Lupine Gallery Blue 100/100 Pixie Tag</t>
  </si>
  <si>
    <t>TAG Lupine Gallery Blue 25/25 Portrait Tag</t>
  </si>
  <si>
    <t>TAG Lupine Gallery Mini Blue 25/25 Portrait Tag</t>
  </si>
  <si>
    <t>TAG Lupine Gallery Mini Blue Bicolor 25/25 Portrait Tag</t>
  </si>
  <si>
    <t>TAG Lupine Gallery Mini Mix 25/25 Portrait Tag</t>
  </si>
  <si>
    <t>TAG Lupine Gallery Mini Pink 25/25 Portrait Tag</t>
  </si>
  <si>
    <t>TAG Lupine Gallery Mini Pink Bicolor 25/25 Portrait Tag</t>
  </si>
  <si>
    <t>TAG Lupine Gallery Mini Red 25/25 Portrait Tag</t>
  </si>
  <si>
    <t>TAG Lupine Gallery Mini White 25/25 Portrait Tag</t>
  </si>
  <si>
    <t>TAG Lupine Gallery Mini Yellow 25/25 Portrait Tag</t>
  </si>
  <si>
    <t>TAG Lupine Gallery Mix 100/100 Pixie Tag</t>
  </si>
  <si>
    <t>TAG Lupine Gallery Mix 25/25 Portrait Tag</t>
  </si>
  <si>
    <t>TAG Lupine Gallery Pink 100/100 Pixie Tag</t>
  </si>
  <si>
    <t>TAG Lupine Gallery Pink 25/25 Portrait Tag</t>
  </si>
  <si>
    <t>TAG Lupine Gallery Red 100/100 Pixie Tag</t>
  </si>
  <si>
    <t>TAG Lupine Gallery Red 25/25 Portrait Tag</t>
  </si>
  <si>
    <t>TAG Lupine Gallery White 100/100 Pixie Tag</t>
  </si>
  <si>
    <t>TAG Lupine Gallery White 25/25 Portrait Tag</t>
  </si>
  <si>
    <t>TAG Lupine Gallery Yellow 100/100 Pixie Tag</t>
  </si>
  <si>
    <t>TAG Lupine Gallery Yellow 25/25 Portrait Tag</t>
  </si>
  <si>
    <t>TAG Lupine Lupini Blue Shades 25/25 Portrait Tag</t>
  </si>
  <si>
    <t>TAG Lupine Lupini Mix 25/25 Portrait Tag</t>
  </si>
  <si>
    <t>TAG Lupine Lupini Pink Shades 25/25 Portrait Tag</t>
  </si>
  <si>
    <t>TAG Lupine Lupini Red Shades 25/25 Portrait Tag</t>
  </si>
  <si>
    <t>TAG Lupine Lupini White 25/25 Portrait Tag</t>
  </si>
  <si>
    <t>TAG Lupine Lupini Yellow Shades 25/25 Portrait Tag</t>
  </si>
  <si>
    <t>TAG Lupine Minarette Mix 100/100 Pixie Tag</t>
  </si>
  <si>
    <t>TAG Lupine Mix 25/25 Portrait Tag</t>
  </si>
  <si>
    <t>TAG Lupine My Castle 25/25 Portrait Tag</t>
  </si>
  <si>
    <t>TAG Lupine Russell Hybrid Mix 100/100 Pixie Tag</t>
  </si>
  <si>
    <t>TAG Lupine Russell Hybrid Mix 25/25 Portrait Tag</t>
  </si>
  <si>
    <t>TAG Lupine Russell Yellow 25/25 Portrait Tag</t>
  </si>
  <si>
    <t>TAG Lupine Staircase Blue 25/25 Portrait Tag</t>
  </si>
  <si>
    <t>TAG Lupine Staircase Blue And Yellow 25/25 Portrait Tag</t>
  </si>
  <si>
    <t>TAG Lupine Staircase Dark Blue And White 25/25 Portrait Tag</t>
  </si>
  <si>
    <t>TAG Lupine Staircase Orange 25/25 Portrait Tag</t>
  </si>
  <si>
    <t>TAG Lupine Staircase Pink Grapefruit 25/25 Portrait Tag</t>
  </si>
  <si>
    <t>TAG Lupine Staircase Purple 25/25 Portrait Tag</t>
  </si>
  <si>
    <t>TAG Lupine Staircase Red 25/25 Portrait Tag</t>
  </si>
  <si>
    <t>TAG Lupine Staircase Red And White 25/25 Portrait Tag</t>
  </si>
  <si>
    <t>TAG Lupine Staircase Rose And White 25/25 Portrait Tag</t>
  </si>
  <si>
    <t>TAG Lupine Staircase Yellow 25/25 Portrait Tag</t>
  </si>
  <si>
    <t>TAG Lupine Texas Bluebonnet 100/100 Pixie Tag</t>
  </si>
  <si>
    <t>TAG Lupine The Chatelaine 25/25 Portrait Tag</t>
  </si>
  <si>
    <t>TAG Lupine The Governor 25/25 Portrait Tag</t>
  </si>
  <si>
    <t>TAG Lupine Westcountry Blacksmith 25/25 Portrait Tag</t>
  </si>
  <si>
    <t>TAG Lupine Westcountry Desert Sun 25/25 Portrait Tag</t>
  </si>
  <si>
    <t>TAG Lupine Westcountry Manhattan Lghts 25/25 Portrait Tag</t>
  </si>
  <si>
    <t>TAG Lupine Westcountry Masterpiece 25/25 Portrait Tag</t>
  </si>
  <si>
    <t>TAG Lupine Westcountry Persian Slipper 25/25 Portrait Tag</t>
  </si>
  <si>
    <t>TAG Lupine Westcountry Rachel De Thame 25/25 Portrait Tag</t>
  </si>
  <si>
    <t>TAG Lupine Westcountry Red Rum 25/25 Portrait Tag</t>
  </si>
  <si>
    <t>TAG Lupine Westcountry Tequila Flame 25/25 Portrait Tag</t>
  </si>
  <si>
    <t>TAG Luzula Lucius 25/25 Portrait Tag</t>
  </si>
  <si>
    <t>TAG Lychnis Agrostemma Rose Coronaria 25/25 Portrait Tag</t>
  </si>
  <si>
    <t>TAG Lychnis Maltese Cross 100/100 Pixie Tag</t>
  </si>
  <si>
    <t>TAG Lychnis Maltese Cross 25/25 Portrait Tag</t>
  </si>
  <si>
    <t>TAG Lychnis Molten Lava 25/25 Portrait Tag</t>
  </si>
  <si>
    <t>TAG Lychnis Orange Gnome 25/25 Portrait Tag</t>
  </si>
  <si>
    <t>TAG Lychnis Petite Henri 25/25 Portrait Tag</t>
  </si>
  <si>
    <t>TAG Lychnis Petite Jenny 25/25 Portrait Tag</t>
  </si>
  <si>
    <t>TAG Lychnis Rose Campion GENERIC 25/25 Portrait Tag</t>
  </si>
  <si>
    <t>TAG Lychnis Vesuvius 100/100 Pixie Tag</t>
  </si>
  <si>
    <t>TAG Tomato Early Girl Plus 100/100 Pixie Tag</t>
  </si>
  <si>
    <t>TAG Tomato Zenzei 100/100 Pixie Tag</t>
  </si>
  <si>
    <t>TAG Lysimachia Alexander 25/25 Portrait Tag</t>
  </si>
  <si>
    <t>TAG Lysimachia Aurea 100/100 Pixie Tag</t>
  </si>
  <si>
    <t>TAG Lysimachia Aurea Creeping Jenny 25/25 Portrait Tag</t>
  </si>
  <si>
    <t>TAG Lysimachia Creeping Jenny 100/100 Pixie Tag</t>
  </si>
  <si>
    <t>TAG Lysimachia Creepng Jenny Moneywort 25/25 Portrait Tag</t>
  </si>
  <si>
    <t>TAG Lysimachia Firefly Congestiflora 25/25 Portrait Tag</t>
  </si>
  <si>
    <t>TAG Lysimachia Lysimachia Bilingual 100/100 Pixie Tag</t>
  </si>
  <si>
    <t>TAG Lysimachia GENERIC Nummularia 25/25 Portrait Tag</t>
  </si>
  <si>
    <t>TAG Lysimachia Golden Globes 100/100 Pixie Tag</t>
  </si>
  <si>
    <t>TAG Lysimachia Goldii 100/100 Pixie Tag DO FUL</t>
  </si>
  <si>
    <t>TAG Lysimachia Goldii 25/25 Portrait Tag SF</t>
  </si>
  <si>
    <t>TAG Lysimachia Goldii 50/50 Petite Portrait DO FUL</t>
  </si>
  <si>
    <t>TAG Lysimachia Goldilocks 100/100 Pixie Tag</t>
  </si>
  <si>
    <t>TAG Lysimachia Goldilocks 25/25 Portrait Tag</t>
  </si>
  <si>
    <t>TAG Lysimachia Goldilocks 50/50 Petite Portrait DO FUL</t>
  </si>
  <si>
    <t>TAG Lysimachia Green 100/100 Pixie Tag DO FUL</t>
  </si>
  <si>
    <t>TAG Lysimachia Midnight Sun 100/100 Pixie Tag</t>
  </si>
  <si>
    <t>TAG Lysimachia Midnight Sun 50/50 Petite Portrait DO FUL</t>
  </si>
  <si>
    <t>TAG Lysimachia Night Light Alvredii 25/25 Portrait Tag</t>
  </si>
  <si>
    <t>TAG Lysimachia Outback Sunset 100/100 Pixie Tag</t>
  </si>
  <si>
    <t>TAG Lysimachia Sunburst 100/100 Pixie Tag</t>
  </si>
  <si>
    <t>TAG Lysimachia Sunburst 50/50 Petite Portrait DO FUL</t>
  </si>
  <si>
    <t>TAG Lysimachia Variegated 100/100 Pixie Tag</t>
  </si>
  <si>
    <t>TAG Lysimachia Yellow 50/50 Petite Portrait DO FUL</t>
  </si>
  <si>
    <t>TAG Lythrum Morden Gleam Virgatum 25/25 Portrait Tag</t>
  </si>
  <si>
    <t>TAG Lythrum Morden Pink Virgatum 25/25 Portrait Tag</t>
  </si>
  <si>
    <t>TAG Mandevilla Madinia Petite Pink 50/50 Petite Portrait SF FUL</t>
  </si>
  <si>
    <t>TAG Mandevilla Madinia Petite Red 50/50 Petite Portrait SF FUL</t>
  </si>
  <si>
    <t>TAG Malva Alba Moschata 25/25 Portrait Tag</t>
  </si>
  <si>
    <t>TAG Malva Pink 25/25 Portrait Tag</t>
  </si>
  <si>
    <t>TAG Malva Sylvestris 25/25 Portrait Tag</t>
  </si>
  <si>
    <t>TAG Malva Zebrina Sylvestris 100/100 Pixie Tag</t>
  </si>
  <si>
    <t>TAG Malvav Red 25/25 Portrait Tag</t>
  </si>
  <si>
    <t>TAG Mandevilla Bella Series 100/100 Pixie Tag</t>
  </si>
  <si>
    <t>TAG Mandevilla Flordenia Neon 50/50 Pixie TAG DO FUL</t>
  </si>
  <si>
    <t>TAG Mandevilla Flordenia Pink Blush 50/50 Pixie TAG DO FUL</t>
  </si>
  <si>
    <t>TAG Mandevilla Flordenia Plus White 50/50 Pixie TAG DO FUL</t>
  </si>
  <si>
    <t>TAG Mandevilla Flordenia Plus White Halo 50/50 Pixie TAG DO FUL</t>
  </si>
  <si>
    <t>TAG Mandevilla GENERIC 100/100 Hang Tag</t>
  </si>
  <si>
    <t>TAG Mandevilla GENERIC 100/100 Pixie Tag</t>
  </si>
  <si>
    <t>TAG Mandevilla Madinia Deep Red 50/50 Petite Portrait SF FUL</t>
  </si>
  <si>
    <t>TAG Mandevilla Madinia Maximo Light Pink 50/50 Petite Portrait SF FUL</t>
  </si>
  <si>
    <t>TAG Mandevilla Madinia Petite Deep Red 50/50 Pixie Tag SF FUL</t>
  </si>
  <si>
    <t>TAG Mandevilla Madinia Pink 50/50 Petite Portrait SF FUL</t>
  </si>
  <si>
    <t>TAG Mandevilla Madinia White 50/50 Petite Portrait SF FUL</t>
  </si>
  <si>
    <t>TAG Manettia Candy Corn 100/100 Pixie Tag</t>
  </si>
  <si>
    <t>TAG Maranta GENERIC 100/100 Pixie Tag</t>
  </si>
  <si>
    <t>TAG Marigold African Gold GENERIC 100/100 Pixie Tag</t>
  </si>
  <si>
    <t>TAG Marigold African Bilingual GENERIC 100/100 Pixie Tag</t>
  </si>
  <si>
    <t>TAG Marigold African Orange Bilingual GENERIC 100/100 Pixie Tag</t>
  </si>
  <si>
    <t>TAG Marigold African Yellow Bilingual GENERIC 100/100 Pixie Tag</t>
  </si>
  <si>
    <t>TAG Marigold Alumia Creme Brulee 100/100 Pixie Tag SF</t>
  </si>
  <si>
    <t>TAG Marigold Alumia Deep Orange 100/100 Pixie Tag</t>
  </si>
  <si>
    <t>TAG Marigold Alumia Flame 100/100 Pixie Tag</t>
  </si>
  <si>
    <t>TAG Marigold Alumia Mix 100/100 Pixie Tag</t>
  </si>
  <si>
    <t>TAG Marigold Alumia Vanilla Cream 100/100 Pixie Tag SF</t>
  </si>
  <si>
    <t>TAG Marigold Alumia Yellow 100/100 Pixie Tag SF</t>
  </si>
  <si>
    <t>TAG Marigold Antigua Gold 100/100 Pixie Tag SF</t>
  </si>
  <si>
    <t>TAG Marigold Antigua Mix 100/100 Pixie Tag SF</t>
  </si>
  <si>
    <t>TAG Marigold Antigua Orange 100/100 Pixie Tag SF</t>
  </si>
  <si>
    <t>TAG Marigold Antigua Primrose 100/100 Pixie Tag SF</t>
  </si>
  <si>
    <t>TAG Marigold Antigua Yellow 100/100 Pixie Tag SF</t>
  </si>
  <si>
    <t>TAG Marigold Bali Gold 100/100 Pixie Tag</t>
  </si>
  <si>
    <t>TAG Marigold Bali Mix 100/100 Pixie Tag</t>
  </si>
  <si>
    <t>TAG Marigold Bali Orange 100/100 Pixie Tag</t>
  </si>
  <si>
    <t>TAG Marigold Bali Yellow 100/100 Pixie Tag</t>
  </si>
  <si>
    <t>TAG Marigold Bicolor Bilingual GENERIC 100/100 Pixie Tag</t>
  </si>
  <si>
    <t>TAG Marigold Big Duck Gold 100/100 Pixie Tag</t>
  </si>
  <si>
    <t>TAG Marigold Big Duck Orange 100/100 Pixie Tag</t>
  </si>
  <si>
    <t>TAG Marigold Big Duck Yellow 100/100 Pixie Tag</t>
  </si>
  <si>
    <t>TAG Marigold Big Top Gold 100/100 Pixie Tag SF</t>
  </si>
  <si>
    <t>TAG Marigold Big Top Mix 100/100 Pixie Tag SF</t>
  </si>
  <si>
    <t>TAG Marigold Big Top Orange 100/100 Pixie Tag SF</t>
  </si>
  <si>
    <t>TAG Marigold Big Top Yellow 100/100 Pixie Tag SF</t>
  </si>
  <si>
    <t>TAG Marigold Bolero 100/100 Pixie Tag</t>
  </si>
  <si>
    <t>TAG Marigold Bonanza Bee 100/100 Pixie Tag</t>
  </si>
  <si>
    <t>TAG Marigold Bonanza Bolero 100/100 Pixie Tag</t>
  </si>
  <si>
    <t>TAG Marigold Bonanza Deep Orange 100/100 Pixie Tag</t>
  </si>
  <si>
    <t>TAG Marigold Bonanza Flame 100/100 Pixie Tag</t>
  </si>
  <si>
    <t>TAG Marigold Bonanza Gold 100/100 Pixie Tag</t>
  </si>
  <si>
    <t>TAG Marigold Bonanza Harmony 100/100 Pixie Tag</t>
  </si>
  <si>
    <t>TAG Marigold Bonanza Mix 100/100 Pixie Tag</t>
  </si>
  <si>
    <t>TAG Marigold Bonanza Orange 100/100 Pixie Tag</t>
  </si>
  <si>
    <t>TAG Marigold Bonanza Yellow 100/100 Pixie Tag</t>
  </si>
  <si>
    <t>TAG Marigold Boy Harmony 100/100 Pixie Tag</t>
  </si>
  <si>
    <t>TAG Marigold Boy O' Boy Mix 100/100 Pixie Tag</t>
  </si>
  <si>
    <t>TAG Marigold Boy Orange 100/100 Pixie Tag</t>
  </si>
  <si>
    <t>TAG Marigold Boy Spry 100/100 Pixie Tag</t>
  </si>
  <si>
    <t>TAG Marigold Boy Yellow 100/100 Pixie Tag</t>
  </si>
  <si>
    <t>TAG Marigold Chica Flame 100/100 Pixie Tag</t>
  </si>
  <si>
    <t>TAG Marigold Chica Mix 100/100 Pixie Tag</t>
  </si>
  <si>
    <t>TAG Marigold Chica Orange 100/100 Pixie Tag</t>
  </si>
  <si>
    <t>TAG Marigold Chica Yellow 100/100 Pixie Tag</t>
  </si>
  <si>
    <t>TAG Marigold Crackerjack Mix 100/100 Pixie Tag</t>
  </si>
  <si>
    <t>TAG Marigold Cresta Bee 100/100 Pixie Tag SF</t>
  </si>
  <si>
    <t>TAG Marigold Cresta Deep Orange 100/100 Pixie Tag SF</t>
  </si>
  <si>
    <t>TAG Marigold Cresta Flame 100/100 Pixie Tag SF</t>
  </si>
  <si>
    <t>TAG Marigold Cresta Gold 100/100 Pixie Tag SF</t>
  </si>
  <si>
    <t>TAG Marigold Cresta Harmony 100/100 Pixie Tag SF</t>
  </si>
  <si>
    <t>TAG Marigold Cresta Mix 100/100 Pixie Tag SF</t>
  </si>
  <si>
    <t>TAG Marigold Cresta Orange 100/100 Pixie Tag SF</t>
  </si>
  <si>
    <t>TAG Marigold Cresta Spry 100/100 Pixie Tag SF</t>
  </si>
  <si>
    <t>TAG Marigold Cresta Yellow 100/100 Pixie Tag SF</t>
  </si>
  <si>
    <t>TAG Marigold Crush Pineapple 100/100 Pixie Tag</t>
  </si>
  <si>
    <t>TAG Marigold Crush Pumpkin 100/100 Pixie Tag</t>
  </si>
  <si>
    <t>TAG Marigold Disco Granada 100/100 Pixie Tag</t>
  </si>
  <si>
    <t>TAG Marigold Disco Marietta 100/100 Pixie Tag</t>
  </si>
  <si>
    <t>TAG Marigold Disco Mix 100/100 Pixie Tag</t>
  </si>
  <si>
    <t>TAG Marigold Disco Orange 100/100 Pixie Tag</t>
  </si>
  <si>
    <t>TAG Marigold Disco Red 100/100 Pixie Tag</t>
  </si>
  <si>
    <t>TAG Marigold Disco Yellow 100/100 Pixie Tag</t>
  </si>
  <si>
    <t>TAG Marigold Discovery Mix 100/100 Pixie Tag</t>
  </si>
  <si>
    <t>TAG Marigold Discovery Orange 100/100 Pixie Tag</t>
  </si>
  <si>
    <t>TAG Marigold Discovery Yellow 100/100 Pixie Tag</t>
  </si>
  <si>
    <t>TAG Marigold Durango Bee 100/100 Pixie Tag</t>
  </si>
  <si>
    <t>TAG Marigold Durango Bolero 100/100 Pixie Tag</t>
  </si>
  <si>
    <t>TAG Marigold Durango Flame 100/100 Pixie Tag</t>
  </si>
  <si>
    <t>TAG Marigold Durango Gold 100/100 Pixie Tag</t>
  </si>
  <si>
    <t>TAG Marigold Durango Mix 100/100 Pixie Tag</t>
  </si>
  <si>
    <t>TAG Marigold Durango Orange 100/100 Pixie Tag</t>
  </si>
  <si>
    <t>TAG Marigold Durango Outback Mix 100/100 Pixie Tag</t>
  </si>
  <si>
    <t>TAG Marigold Durango Red 100/100 Pixie Tag</t>
  </si>
  <si>
    <t>TAG Marigold Durango Tangerine 100/100 Pixie Tag</t>
  </si>
  <si>
    <t>TAG Marigold Durango Yellow 100/100 Pixie Tag</t>
  </si>
  <si>
    <t>TAG Marigold Dwarf Bicolor GENERIC 100/100 Pixie Tag</t>
  </si>
  <si>
    <t>TAG Marigold Dwarf Mix GENERIC 100/100 Pixie Tag</t>
  </si>
  <si>
    <t>TAG Marigold Dwarf Orange GENERIC 100/100 Pixie Tag</t>
  </si>
  <si>
    <t>TAG Marigold Dwarf Yellow GENERIC 100/100 Pixie Tag</t>
  </si>
  <si>
    <t>TAG Marigold Endurance Mix 100/100 Pixie Tag SF</t>
  </si>
  <si>
    <t>TAG Marigold Endurance Orange 100/100 Pixie Tag SF</t>
  </si>
  <si>
    <t>TAG Marigold Endurance Sunset Gold 100/100 Pixie Tag SF</t>
  </si>
  <si>
    <t>TAG Marigold Endurance Yellow 100/100 Pixie Tag SF</t>
  </si>
  <si>
    <t>TAG Marigold Fireball 100/100 Pixie Tag</t>
  </si>
  <si>
    <t>TAG Marigold Flamenco 100/100 Pixie Tag</t>
  </si>
  <si>
    <t>TAG Marigold French Bilingual GENERIC 100/100 Pixie Tag</t>
  </si>
  <si>
    <t>TAG Marigold French Vanilla 100/100 Pixie Tag</t>
  </si>
  <si>
    <t>TAG Marigold Gem 100/100 Pixie Tag</t>
  </si>
  <si>
    <t>TAG Marigold Gem Golden 100/100 Pixie Tag</t>
  </si>
  <si>
    <t>TAG Marigold Gem Lemon 25/25 Portrait Tag</t>
  </si>
  <si>
    <t>TAG Marigold Gem Tangerine 25/25 Portrait Tag</t>
  </si>
  <si>
    <t>TAG Marigold Bilingual GENERIC 100/100 Pixie Tag</t>
  </si>
  <si>
    <t>TAG Marigold Happy Gold 100/100 Pixie Tag SF</t>
  </si>
  <si>
    <t>TAG Marigold Happy Harmony 100/100 Pixie Tag SF</t>
  </si>
  <si>
    <t>TAG Marigold Happy Mix 100/100 Pixie Tag SF</t>
  </si>
  <si>
    <t>TAG Marigold Happy Orange 100/100 Pixie Tag SF</t>
  </si>
  <si>
    <t>TAG Marigold Happy Spry 100/100 Pixie Tag SF</t>
  </si>
  <si>
    <t>TAG Marigold Happy Yellow 100/100 Pixie Tag SF</t>
  </si>
  <si>
    <t>TAG Marigold Hero Bee 100/100 Pixie Tag</t>
  </si>
  <si>
    <t>TAG Marigold Hero Flame 100/100 Pixie Tag</t>
  </si>
  <si>
    <t>TAG Marigold Hero Harmony 100/100 Pixie Tag</t>
  </si>
  <si>
    <t>TAG Marigold Hero Mix 100/100 Pixie Tag</t>
  </si>
  <si>
    <t>TAG Marigold Hero Orange 100/100 Pixie Tag</t>
  </si>
  <si>
    <t>TAG Marigold Hero Spry 100/100 Pixie Tag</t>
  </si>
  <si>
    <t>TAG Marigold Hero Yellow 100/100 Pixie Tag</t>
  </si>
  <si>
    <t>TAG Marigold Hot Pak Fire 100/100 Pixie Tag</t>
  </si>
  <si>
    <t>TAG Marigold Hot Pak Flame 100/100 Pixie Tag</t>
  </si>
  <si>
    <t>TAG Marigold Hot Pak Gold 100/100 Pixie Tag</t>
  </si>
  <si>
    <t>TAG Marigold Hot Pak Harmony 100/100 Pixie Tag</t>
  </si>
  <si>
    <t>TAG Marigold Hot Pak Mix 100/100 Pixie Tag</t>
  </si>
  <si>
    <t>TAG Marigold Hot Pak Orange 100/100 Pixie Tag</t>
  </si>
  <si>
    <t>TAG Marigold Hot Pak Spry 100/100 Pixie Tag</t>
  </si>
  <si>
    <t>TAG Marigold Hot Pak Yellow 100/100 Pixie Tag</t>
  </si>
  <si>
    <t>TAG Marigold Inca Gold 100/100 Pixie Tag SF</t>
  </si>
  <si>
    <t>TAG Marigold Inca II Deep Orange 100/100 Pixie Tag SF</t>
  </si>
  <si>
    <t>TAG Marigold Inca II Gold 100/100 Pixie Tag SF</t>
  </si>
  <si>
    <t>TAG Marigold Inca II Mix 100/100 Pixie Tag SF</t>
  </si>
  <si>
    <t>TAG Marigold Inca II Orange 100/100 Pixie Tag SF</t>
  </si>
  <si>
    <t>TAG Marigold Inca II Primrose 100/100 Pixie Tag SF</t>
  </si>
  <si>
    <t>TAG Marigold Inca II Yellow 100/100 Pixie Tag SF</t>
  </si>
  <si>
    <t>TAG Marigold Inca Mix 100/100 Pixie Tag SF</t>
  </si>
  <si>
    <t>TAG Marigold Inca Orange 100/100 Pixie Tag SF</t>
  </si>
  <si>
    <t>TAG Marigold Inca Yellow 100/100 Pixie Tag SF</t>
  </si>
  <si>
    <t>TAG Marigold Janie Bright Yellow 100/100 Pixie Tag</t>
  </si>
  <si>
    <t>TAG Marigold Janie Deep Orange 100/100 Pixie Tag</t>
  </si>
  <si>
    <t>TAG Marigold Janie Flame 100/100 Pixie Tag</t>
  </si>
  <si>
    <t>TAG Marigold Janie Gold 100/100 Pixie Tag</t>
  </si>
  <si>
    <t>TAG Marigold Janie Harmony 100/100 Pixie Tag</t>
  </si>
  <si>
    <t>TAG Marigold Janie Mix 100/100 Pixie Tag</t>
  </si>
  <si>
    <t>TAG Marigold Janie Primrose 100/100 Pixie Tag</t>
  </si>
  <si>
    <t>TAG Marigold Janie Spry 100/100 Pixie Tag</t>
  </si>
  <si>
    <t>TAG Marigold Janie Tangerine 100/100 Pixie Tag</t>
  </si>
  <si>
    <t>TAG Marigold Jedi Orange 100/100 Pixie Tag</t>
  </si>
  <si>
    <t>TAG Marigold Lady First 100/100 Pixie Tag</t>
  </si>
  <si>
    <t>TAG Marigold Lady Mix 100/100 Pixie Tag</t>
  </si>
  <si>
    <t>TAG Marigold Lady Orange 100/100 Pixie Tag</t>
  </si>
  <si>
    <t>TAG Marigold Lemon Drop 100/100 Pixie Tag</t>
  </si>
  <si>
    <t>TAG Marigold Leopard 100/100 Pixie Tag</t>
  </si>
  <si>
    <t>TAG Marigold Little Devil Fire 100/100 Pixie Tag</t>
  </si>
  <si>
    <t>TAG Marigold Little Duck Orange 100/100 Pixie Tag</t>
  </si>
  <si>
    <t>TAG Marigold Little Duck Yellow 100/100 Pixie Tag</t>
  </si>
  <si>
    <t>TAG Marigold Little Hero Fire 100/100 Pixie Tag</t>
  </si>
  <si>
    <t>TAG Marigold Little Hero Mix 100/100 Pixie Tag</t>
  </si>
  <si>
    <t>TAG Marigold Little Hero Orange 100/100 Pixie Tag</t>
  </si>
  <si>
    <t>TAG Marigold Little Hero Spry 100/100 Pixie Tag</t>
  </si>
  <si>
    <t>TAG Marigold Little Hero Yellow 100/100 Pixie Tag</t>
  </si>
  <si>
    <t>TAG Marigold Lulu 100/100 Pixie Tag</t>
  </si>
  <si>
    <t>TAG Marigold Marietta Red 100/100 Pixie Tag</t>
  </si>
  <si>
    <t>TAG Marigold Marvel Gold 100/100 Pixie Tag</t>
  </si>
  <si>
    <t>TAG Marigold Marvel II Gold 100/100 Pixie Tag</t>
  </si>
  <si>
    <t>TAG Marigold Marvel II Mix 100/100 Pixie Tag</t>
  </si>
  <si>
    <t>TAG Marigold Marvel II Orange 100/100 Pixie Tag</t>
  </si>
  <si>
    <t>TAG Marigold Marvel II Yellow 100/100 Pixie Tag</t>
  </si>
  <si>
    <t>TAG Marigold Marvel Mix 100/100 Pixie Tag</t>
  </si>
  <si>
    <t>TAG Marigold Marvel Orange 100/100 Pixie Tag</t>
  </si>
  <si>
    <t>TAG Marigold Marvel Yellow 100/100 Pixie Tag</t>
  </si>
  <si>
    <t>TAG Marigold Moonstruck Orange 100/100 Pixie Tag</t>
  </si>
  <si>
    <t>TAG Marigold Moonstruck Yellow 100/100 Pixie Tag</t>
  </si>
  <si>
    <t>TAG Marigold Mr Majestic 100/100 Pixie Tag</t>
  </si>
  <si>
    <t>TAG Marigold Orange GENERIC 100/100 Pixie Tag</t>
  </si>
  <si>
    <t>TAG Marigold Orange Bilingual GENERIC 100/100 Pixie Tag</t>
  </si>
  <si>
    <t>TAG Marigold Perfection Orange 100/100 Pixie Tag SF</t>
  </si>
  <si>
    <t>TAG Marigold Perfection Yellow 100/100 Pixie Tag SF</t>
  </si>
  <si>
    <t>TAG Marigold Proud Mari Gold 100/100 Pixie Tag</t>
  </si>
  <si>
    <t>TAG Marigold Proud Mari Mix 100/100 Pixie Tag</t>
  </si>
  <si>
    <t>TAG Marigold Proud Mari Orange 100/100 Pixie Tag</t>
  </si>
  <si>
    <t>TAG Marigold Proud Mari Yellow 100/100 Pixie Tag</t>
  </si>
  <si>
    <t>TAG Marigold Red Bilingual GENERIC 100/100 Pixie Tag</t>
  </si>
  <si>
    <t>TAG Marigold Red GENERIC 100/100 Pixie Tag</t>
  </si>
  <si>
    <t>TAG Marigold Safari Bolero 100/100 Pixie Tag</t>
  </si>
  <si>
    <t>TAG Marigold Safari Gold 100/100 Pixie Tag</t>
  </si>
  <si>
    <t>TAG Marigold Safari Mix 100/100 Pixie Tag</t>
  </si>
  <si>
    <t>TAG Marigold Safari Orange 100/100 Pixie Tag</t>
  </si>
  <si>
    <t>TAG Marigold Safari Queen 100/100 Pixie Tag</t>
  </si>
  <si>
    <t>TAG Marigold Safari Red 100/100 Pixie Tag</t>
  </si>
  <si>
    <t>TAG Marigold Safari Scarlet 100/100 Pixie Tag</t>
  </si>
  <si>
    <t>TAG Marigold Safari Tangerine 100/100 Pixie Tag</t>
  </si>
  <si>
    <t>TAG Marigold Safari Yellow 100/100 Pixie Tag</t>
  </si>
  <si>
    <t>TAG Marigold Safari Yellow Fire 100/100 Pixie Tag</t>
  </si>
  <si>
    <t>TAG Marigold Siam Gold 100/100 Pixie Tag</t>
  </si>
  <si>
    <t>TAG Marigold Sophia Queen 100/100 Pixie Tag</t>
  </si>
  <si>
    <t>TAG Marigold Strawberry Blonde 100/100 Pixie Tag</t>
  </si>
  <si>
    <t>TAG Marigold Super Hero Deep Orange 100/100 Pixie Tag</t>
  </si>
  <si>
    <t>TAG Marigold Super Hero Deep Yellow 100/100 Pixie Tag</t>
  </si>
  <si>
    <t>TAG Marigold Super Hero Gold 100/100 Pixie Tag</t>
  </si>
  <si>
    <t>TAG Marigold Super Hero Harmony 100/100 Pixie Tag</t>
  </si>
  <si>
    <t>TAG Marigold Super Hero Mix 100/100 Pixie Tag</t>
  </si>
  <si>
    <t>TAG Marigold Super Hero Orange 100/100 Pixie Tag</t>
  </si>
  <si>
    <t>TAG Marigold Super Hero Orange Bee 100/100 Pixie Tag</t>
  </si>
  <si>
    <t>TAG Marigold Super Hero Orange Flame 100/100 Pixie Tag</t>
  </si>
  <si>
    <t>TAG Marigold Super Hero Spry 100/100 Pixie Tag</t>
  </si>
  <si>
    <t>TAG Marigold Super Hero Yellow 100/100 Pixie Tag</t>
  </si>
  <si>
    <t>TAG Marigold Super Hero Yellow Bee 100/100 Pixie Tag</t>
  </si>
  <si>
    <t>TAG Marigold Sweet Cream 100/100 Pixie Tag</t>
  </si>
  <si>
    <t>TAG Marigold Taishan Gold 100/100 Pixie Tag</t>
  </si>
  <si>
    <t>TAG Marigold Taishan Mix 100/100 Pixie Tag</t>
  </si>
  <si>
    <t>TAG Marigold Taishan Orange 100/100 Pixie Tag</t>
  </si>
  <si>
    <t>TAG Marigold Taishan Series 100/100 Pixie Tag</t>
  </si>
  <si>
    <t>TAG Marigold Taishan Yellow 100/100 Pixie Tag</t>
  </si>
  <si>
    <t>TAG Marigold Tall Orange GENERIC 100/100 Pixie Tag</t>
  </si>
  <si>
    <t>TAG Marigold Tall Yellow GENERIC 100/100 Pixie Tag</t>
  </si>
  <si>
    <t>TAG Marigold Vanilla 100/100 Pixie Tag</t>
  </si>
  <si>
    <t>TAG Marigold White Bilingual GENERIC 100/100 Pixie Tag</t>
  </si>
  <si>
    <t>TAG Marigold Yellow GENERIC 100/100 Pixie Tag</t>
  </si>
  <si>
    <t>TAG Marigold Yellow Bilingual GENERIC 100/100 Pixie Tag</t>
  </si>
  <si>
    <t>TAG Marigold Zenith Deep Orange 100/100 Pixie Tag SF</t>
  </si>
  <si>
    <t>TAG Marigold Zenith Golden Yellow 100/100 Pixie Tag SF</t>
  </si>
  <si>
    <t>TAG Marigold Zenith Lemon Yellow 100/100 Pixie Tag SF</t>
  </si>
  <si>
    <t>TAG Marigold Zenith Orange 100/100 Pixie Tag SF</t>
  </si>
  <si>
    <t>TAG Marigold Zenith Red 100/100 Pixie Tag SF</t>
  </si>
  <si>
    <t>TAG Marigold Zenith Red/Gold 100/100 Pixie Tag SF</t>
  </si>
  <si>
    <t>TAG Marigold Zenith Series 100/100 Pixie Tag SF</t>
  </si>
  <si>
    <t>TAG Marigold Zenith Yellow 100/100 Pixie Tag SF</t>
  </si>
  <si>
    <t>TAG Marjoram GENERIC 100/100 Pixie Tag</t>
  </si>
  <si>
    <t>TAG Marjoram Golden 100/100 Pixie Tag</t>
  </si>
  <si>
    <t>TAG Marjoram Sweet 100/100 Pixie Tag</t>
  </si>
  <si>
    <t>TAG Marjoram Sweet 25/25 Portrait Tag</t>
  </si>
  <si>
    <t>TAG Marjoram Variegated 100/100 Pixie Tag</t>
  </si>
  <si>
    <t>TAG Marrub Horehound 25/25 Portrait Tag</t>
  </si>
  <si>
    <t>TAG Mazus Albus 25/25 Portrait Tag</t>
  </si>
  <si>
    <t>TAG Mazus Purple 100/100 Pixie Tag DO FUL</t>
  </si>
  <si>
    <t>TAG Mazus Purple Reptans 25/25 Portrait Tag</t>
  </si>
  <si>
    <t>TAG Mecardonia Garden Freckles 100/100 Pixie Tag</t>
  </si>
  <si>
    <t>TAG Mecardonia Gold Flakes 100/100 Pixie Tag</t>
  </si>
  <si>
    <t>TAG Mecardonia Magic Carpet Yellow 100/100 Pixie Tag</t>
  </si>
  <si>
    <t>TAG Melampodium Blackfoot Daisy 100/100 Pixie Tag</t>
  </si>
  <si>
    <t>TAG Melampodium Derby 100/100 Pixie Tag</t>
  </si>
  <si>
    <t>TAG Melampodium GENERIC 100/100 Pixie Tag</t>
  </si>
  <si>
    <t>TAG Melampodium Jackpot Gold 100/100 Pixie Tag</t>
  </si>
  <si>
    <t>TAG Melampodium Lemon Delight 100/100 Pixie Tag</t>
  </si>
  <si>
    <t>TAG Melampodium Million Gold 100/100 Pixie Tag</t>
  </si>
  <si>
    <t>TAG Melampodium Show Star 100/100 Pixie Tag</t>
  </si>
  <si>
    <t>TAG Melinus Savannah 100/100 Pixie Tag</t>
  </si>
  <si>
    <t>TAG Melon Ambrosia 100/100 Pixie Tag</t>
  </si>
  <si>
    <t>TAG Melon Aphrodite 100/100 Pixie Tag SF</t>
  </si>
  <si>
    <t>TAG Melon Athena 100/100 Pixie Tag</t>
  </si>
  <si>
    <t>TAG Melon Atlantis 100/100 Pixie Tag</t>
  </si>
  <si>
    <t>TAG Melon Ball 2076 100/100 Pixie Tag</t>
  </si>
  <si>
    <t>TAG Melon Burpee Hybrid Muskmelon 100/100 Pixie Tag</t>
  </si>
  <si>
    <t>TAG Melon Cantaloupe Muskmelon 100/100 Pixie Tag</t>
  </si>
  <si>
    <t>TAG Melon Cantaloupe Muskmelon 200/200 Thriftee Tag</t>
  </si>
  <si>
    <t>TAG Melon Crenshaw 100/100 Pixie Tag</t>
  </si>
  <si>
    <t>TAG Melon Cucamelon 100/100 Pixie Tag</t>
  </si>
  <si>
    <t>TAG Melon Delicious 51 100/100 Pixie Tag</t>
  </si>
  <si>
    <t>TAG Melon Dulce Nectar 100/100 Pixie Tag</t>
  </si>
  <si>
    <t>TAG Melon Earli Dew 100/100 Pixie Tag</t>
  </si>
  <si>
    <t>TAG Melon Earli Sweet 100/100 Pixie Tag</t>
  </si>
  <si>
    <t>TAG Melon Early 100/100 Pixie Tag</t>
  </si>
  <si>
    <t>TAG Melon Fastbreak 100/100 Pixie Tag</t>
  </si>
  <si>
    <t>TAG Melon Gold Star 100/100 Pixie Tag</t>
  </si>
  <si>
    <t>TAG Melon Hales Best Jumbo 100/100 Pixie Tag</t>
  </si>
  <si>
    <t>TAG Melon Honey I Dew 100/100 Pixie Tag</t>
  </si>
  <si>
    <t>TAG Melon Honey Rock 100/100 Pixie Tag</t>
  </si>
  <si>
    <t>TAG Melon Honeycomb 100/100 Pixie Tag</t>
  </si>
  <si>
    <t>TAG Melon Honeydew 100/100 Pixie Tag</t>
  </si>
  <si>
    <t>TAG Melon Lilliput 100/100 Pixie Tag</t>
  </si>
  <si>
    <t>TAG Melon Pride Of Wisconsin 100/100 Pixie Tag</t>
  </si>
  <si>
    <t>TAG Melon Primo 100/100 Pixie Tag SF</t>
  </si>
  <si>
    <t>TAG Melon Superstar 100/100 Pixie Tag</t>
  </si>
  <si>
    <t>TAG Mertensia GENERIC 25/25 Portrait Tag</t>
  </si>
  <si>
    <t>TAG Mesembryanthemum Livingstone Daisy GENERIC 100/100 Pixie Tag</t>
  </si>
  <si>
    <t>TAG Milium Aureum Effusum 25/25 Portrait Tag</t>
  </si>
  <si>
    <t>TAG Mimosa Sensitive Plant GENERIC 100/100 Pixie Tag</t>
  </si>
  <si>
    <t>TAG Mimulus GENERIC 100/100 Pixie Tag</t>
  </si>
  <si>
    <t>TAG Mimulus Magic Mix 100/100 Pixie Tag SF</t>
  </si>
  <si>
    <t>TAG Mimulus Magic Series 100/100 Pixie Tag SF</t>
  </si>
  <si>
    <t>TAG Mimulus Mai Tai Orange 100/100 Pixie Tag</t>
  </si>
  <si>
    <t>TAG Mimulus Mai Tai Red 100/100 Pixie Tag</t>
  </si>
  <si>
    <t>TAG Mimulus Maximus Series 100/100 Pixie Tag</t>
  </si>
  <si>
    <t>TAG Mimulus Mystic Mix 100/100 Pixie Tag</t>
  </si>
  <si>
    <t>TAG Mina Exotic Love 100/100 Pixie Tag</t>
  </si>
  <si>
    <t>TAG Mint Apple 100/100 Pixie Tag DO FUL</t>
  </si>
  <si>
    <t>TAG Mint Apple Mint 100/100 Pixie Tag</t>
  </si>
  <si>
    <t>TAG Mint Apple 25/25 Portrait Tag</t>
  </si>
  <si>
    <t>TAG Mint Banana 25/25 Portrait Tag</t>
  </si>
  <si>
    <t>TAG Mint Berries And Cream 25/25 Portrait Tag</t>
  </si>
  <si>
    <t>TAG Mint Blackcurrant 25/25 Portrait Tag</t>
  </si>
  <si>
    <t>TAG Mint Candy 100/100 Pixie Tag</t>
  </si>
  <si>
    <t>TAG Mint Chocolate 100/100 Pixie Tag</t>
  </si>
  <si>
    <t>TAG Mint Chocolate 100/100 Pixie Tag DO FUL</t>
  </si>
  <si>
    <t>TAG Mint Chocolate 25/25 Portrait Tag</t>
  </si>
  <si>
    <t>TAG Mint Corsican 100/100 Pixie Tag</t>
  </si>
  <si>
    <t>TAG Mint Corsican 25/25 Portrait Tag</t>
  </si>
  <si>
    <t>TAG Mint Curly 100/100 Pixie Tag</t>
  </si>
  <si>
    <t>TAG Mint Curly 25/25 Portrait Tag</t>
  </si>
  <si>
    <t>TAG Mint English Pennyroyal 25/25 Portrait Tag</t>
  </si>
  <si>
    <t>TAG Mint Ginger 100/100 Pixie Tag</t>
  </si>
  <si>
    <t>TAG Mint Ginger 25/25 Portrait Tag</t>
  </si>
  <si>
    <t>TAG Mint GENERIC 100/100 Pixie Tag</t>
  </si>
  <si>
    <t>TAG Mint Grapefruit 100/100 Pixie Tag</t>
  </si>
  <si>
    <t>TAG Mint Grapefruit 25/25 Portrait Tag</t>
  </si>
  <si>
    <t>TAG Mint Hillary's Sweet Lemon 25/25 Portrait Tag</t>
  </si>
  <si>
    <t>TAG Mint Kentucky Colonel 100/100 Pixie Tag</t>
  </si>
  <si>
    <t>TAG Mint Kentucky Colonel 25/25 Portrait Tag</t>
  </si>
  <si>
    <t>TAG Mint Kentucky Colonel CN5258 100/100 Pixie Tag DO FUL</t>
  </si>
  <si>
    <t>TAG Mint Lemon 100/100 Pixie Tag</t>
  </si>
  <si>
    <t>TAG Mint Lime 100/100 Pixie Tag</t>
  </si>
  <si>
    <t>TAG Mint Mini 100/100 Pixie Tag</t>
  </si>
  <si>
    <t>TAG Mint Mojito 100/100 Pixie Tag</t>
  </si>
  <si>
    <t>TAG Mint Mojito 25/25 Portrait Tag</t>
  </si>
  <si>
    <t>TAG Mint Moroccan 100/100 Pixie Tag</t>
  </si>
  <si>
    <t>TAG Mint Moroccan Spearmint 25/25 Portrait Tag</t>
  </si>
  <si>
    <t>TAG Mint Orange 100/100 Pixie Tag</t>
  </si>
  <si>
    <t>TAG Mint Orange 100/100 Pixie Tag DO FUL</t>
  </si>
  <si>
    <t>TAG Mint Orange 25/25 Portrait Tag</t>
  </si>
  <si>
    <t>TAG Mint Pennyroyal GENERIC 100/100 Pixie Tag</t>
  </si>
  <si>
    <t>TAG Mint Peppermint 100/100 Pixie Tag</t>
  </si>
  <si>
    <t>TAG Mint Peppermint 100/100 Pixie Tag DO FUL</t>
  </si>
  <si>
    <t>TAG Mint Peppermint 25/25 Portrait Tag</t>
  </si>
  <si>
    <t>TAG Mint Peppermint Upright 25/25 Portrait Tag</t>
  </si>
  <si>
    <t>TAG Mint Pineapple 100/100 Pixie Tag</t>
  </si>
  <si>
    <t>TAG Mint Pineapple 100/100 Pixie Tag DO FUL</t>
  </si>
  <si>
    <t>TAG Mint Pineapple 25/25 Portrait Tag</t>
  </si>
  <si>
    <t>TAG Satureja Indian Mint 100/100 Pixie Tag</t>
  </si>
  <si>
    <t>TAG Mint Spanish 100/100 Pixie Tag</t>
  </si>
  <si>
    <t>TAG Mint Spearmint 100/100 Pixie Tag</t>
  </si>
  <si>
    <t>TAG Mint Spearmint 25/25 Portrait Tag</t>
  </si>
  <si>
    <t>TAG Mint Spearmint CN5259 100/100 Pixie Tag DO FUL</t>
  </si>
  <si>
    <t>TAG Mint Strawberry 25/25 Portrait Tag</t>
  </si>
  <si>
    <t>TAG Mint Sweet Pear 25/25 Portrait Tag</t>
  </si>
  <si>
    <t>TAG Mint Thai 25/25 Portrait Tag</t>
  </si>
  <si>
    <t>TAG Mint The Best 100/100 Pixie Tag</t>
  </si>
  <si>
    <t>TAG Mirabilis Four O'clocks GENERIC 100/100 Pixie Tag</t>
  </si>
  <si>
    <t>TAG Miscellaneous Annual Combination 25/25 Portrait Tag</t>
  </si>
  <si>
    <t>TAG Miscellaneous Crop Marker Blue 100/100 Pixie Tag</t>
  </si>
  <si>
    <t>TAG Miscellaneous Crop Marker Green 100/100 Pixie Tag</t>
  </si>
  <si>
    <t>TAG Miscellaneous Crop Marker Lavender 100/100 Pixie Tag</t>
  </si>
  <si>
    <t>TAG Miscellaneous Crop Marker Orange 100/100 Pixie Tag</t>
  </si>
  <si>
    <t>TAG Miscellaneous Crop Marker Pink 100/100 Pixie Tag</t>
  </si>
  <si>
    <t>TAG Miscellaneous Crop Marker Red 100/100 Pixie Tag</t>
  </si>
  <si>
    <t>TAG Miscellaneous Crop Marker Yellow 100/100 Pixie Tag</t>
  </si>
  <si>
    <t>TAG Miscellaneous Gardening Solutions Deer Resistant 100/100 Pixie Tag</t>
  </si>
  <si>
    <t>TAG Miscellaneous Gardening Solutions Native 100/100 Pixie Tag</t>
  </si>
  <si>
    <t>TAG Miscellaneous GMO Free 100/100 Pixie Tag</t>
  </si>
  <si>
    <t>TAG Miscellaneous Merchandising Tag Sold 100/100 Hang Tag</t>
  </si>
  <si>
    <t>TAG Miscellaneous Organically Grown 100/100 Pixie Tag</t>
  </si>
  <si>
    <t>TAG Miscellaneous Pollinator Friendly 25/25 Portrait Tag</t>
  </si>
  <si>
    <t>TAG Miscellaneous Repels Mosquitos 100/100 Pixie Tag</t>
  </si>
  <si>
    <t>TAG Miscellaneous Sun/Shade Part Sun 100/100 Hang Tag</t>
  </si>
  <si>
    <t>TAG Miscellaneous Sun/Shade Part Sun 25/25 Portrait Tag</t>
  </si>
  <si>
    <t>TAG Miscellaneous Sun/Shade Part Sun Annual 100/100 Hang Tag</t>
  </si>
  <si>
    <t>TAG Miscellaneous Sun/Shade Shade 100/100 Hang Tag</t>
  </si>
  <si>
    <t>TAG Miscellaneous Sun/Shade Shade 25/25 Portrait Tag</t>
  </si>
  <si>
    <t>TAG Miscellaneous Sun/Shade Sun 100/100 Hang Tag</t>
  </si>
  <si>
    <t>TAG Miscellaneous Sun/Shade Sun 25/25 Portrait Tag</t>
  </si>
  <si>
    <t>TAG Miscellaneous Sun/Shade Sun Annual 100/100 Hang Tag</t>
  </si>
  <si>
    <t>TAG Miscanthus Adagio Sinensis 25/25 Portrait Tag</t>
  </si>
  <si>
    <t>TAG Miscanthus Bandwidth 25/25 Portrait Tag</t>
  </si>
  <si>
    <t>TAG Miscanthus Cabaret Sinensis 25/25 Portrait Tag</t>
  </si>
  <si>
    <t>TAG Miscanthus Gracillimus 25/25 Portrait Tag</t>
  </si>
  <si>
    <t>TAG Miscanthus High Frequency 25/25 Portrait Tag</t>
  </si>
  <si>
    <t>TAG Miscanthus Little Kitten 25/25 Portrait Tag</t>
  </si>
  <si>
    <t>TAG Miscanthus Morning Light 25/25 Portrait Tag</t>
  </si>
  <si>
    <t>TAG Miscanthus Purpurascens 25/25 Portrait Tag</t>
  </si>
  <si>
    <t>TAG Miscanthus Strictus Sinensis 25/25 Portrait Tag</t>
  </si>
  <si>
    <t>TAG Miscanthus Zebrinus Sinensis 25/25 Portrait Tag</t>
  </si>
  <si>
    <t>TAG Miscanthus Variegatus 25/25 Portrait Tag</t>
  </si>
  <si>
    <t>TAG Moluccella Bells Of Ireland GENERIC 100/100 Pixie Tag</t>
  </si>
  <si>
    <t>TAG Monarda Balmy Lilac 25/25 Portrait Tag</t>
  </si>
  <si>
    <t>TAG Monarda Balmy Pink 25/25 Portrait Tag</t>
  </si>
  <si>
    <t>TAG Monarda Balmy Purple 25/25 Portrait Tag</t>
  </si>
  <si>
    <t>TAG Monarda Balmy Rose 25/25 Portrait Tag</t>
  </si>
  <si>
    <t>TAG Monarda Bee Balm GENERIC 100/100 Pixie Tag</t>
  </si>
  <si>
    <t>TAG Monarda Bee Mine Lavender Didyma 25/25 Portrait Tag</t>
  </si>
  <si>
    <t>TAG Monarda Bee Mine Pink Didyma 25/25 Portrait Tag</t>
  </si>
  <si>
    <t>TAG Monarda Bee Mine Red Didyma 25/25 Portrait Tag</t>
  </si>
  <si>
    <t>TAG Monarda Blue Stocking Blaustrumpf 25/25 Portrait Tag</t>
  </si>
  <si>
    <t>TAG Monarda Fireball 100/100 Pixie Tag DO FUL</t>
  </si>
  <si>
    <t>TAG Monarda Fireball 25/25 Portrait Tag</t>
  </si>
  <si>
    <t>TAG Monarda Gardenview Scarlet 25/25 Portrait Tag</t>
  </si>
  <si>
    <t>TAG Monarda Grand Parade 25/25 Portrait Tag</t>
  </si>
  <si>
    <t>TAG Monarda Jacob Cline 25/25 Portrait Tag</t>
  </si>
  <si>
    <t>TAG Monarda Marje Pink 25/25 Portrait Tag</t>
  </si>
  <si>
    <t>TAG Monarda Marje Purple 25/25 Portrait Tag</t>
  </si>
  <si>
    <t>TAG Monarda Marje Rose 25/25 Portrait Tag</t>
  </si>
  <si>
    <t>TAG Monarda Marshall's Delight 25/25 Portrait Tag</t>
  </si>
  <si>
    <t>TAG Monarda Mix GENERIC 25/25 Portrait Tag</t>
  </si>
  <si>
    <t>TAG Monarda Panorama Mix 25/25 Portrait Tag</t>
  </si>
  <si>
    <t>TAG Monarda Panorama Red Shades 100/100 Pixie Tag</t>
  </si>
  <si>
    <t>TAG Monarda Petite Delight 25/25 Portrait Tag</t>
  </si>
  <si>
    <t>TAG Monarda Pink Lace 25/25 Portrait Tag</t>
  </si>
  <si>
    <t>TAG Monarda Pocahontas Deep Purple 100/100 Pixie Tag DO FUL</t>
  </si>
  <si>
    <t>TAG Monarda Pocahontas Pink 100/100 Pixie Tag DO FUL</t>
  </si>
  <si>
    <t>TAG Monarda Pocahontas Pink Limited Availability 50/50 Petite Portrait DO FUL</t>
  </si>
  <si>
    <t>TAG Monarda Pocahontas Red Rose 100/100 Pixie Tag DO FUL</t>
  </si>
  <si>
    <t>TAG Monarda Pocahontas Red Rose 50/50 Petite Portrait DO FUL</t>
  </si>
  <si>
    <t>TAG Monarda Raspberry Wine 25/25 Portrait Tag</t>
  </si>
  <si>
    <t>TAG Monarda Wild Bergamot 25/25 Portrait Tag</t>
  </si>
  <si>
    <t>TAG Monstera Deliciosa 100/100 Pixie Tag</t>
  </si>
  <si>
    <t>TAG Monstera Mini Monstera 100/100 Pixie Tag</t>
  </si>
  <si>
    <t>TAG Monstera Swiss Cheese Plant 100/100 Pixie Tag</t>
  </si>
  <si>
    <t>TAG Montauk Daisy 50/50 Pixie Tag SF FUL</t>
  </si>
  <si>
    <t>TAG Muehlenbeckia Big Leaf 25/25 Portrait Tag</t>
  </si>
  <si>
    <t>TAG Muehlenbeckia Creeping Wire Vine 50/50 Petite Portrait DO FUL</t>
  </si>
  <si>
    <t>TAG Muehlenbeckia Creeping Wire Vine GENERIC 25/25 Portrait Tag</t>
  </si>
  <si>
    <t>TAG Muehlenbeckia Muehlenbeckia 50/50 Pixie Tag SF FUL</t>
  </si>
  <si>
    <t>TAG Muehlenbeckia Nana Little Leaf 25/25 Portrait Tag</t>
  </si>
  <si>
    <t>TAG Muhlenbergia Capillaris 25/25 Portrait Tag</t>
  </si>
  <si>
    <t>TAG Muhlenbergia Muhli Pink 25/25 Portrait Tag</t>
  </si>
  <si>
    <t>TAG Muhlenbergia Rosy 25/25 Portrait Tag</t>
  </si>
  <si>
    <t>TAG Muhlenbergia Ruby 25/25 Portrait Tag</t>
  </si>
  <si>
    <t>TAG Musa Banana Tree GENERIC 25/25 Portrait Tag</t>
  </si>
  <si>
    <t>TAG Musa Basjoo Japanese 100/100 Pixie Tag</t>
  </si>
  <si>
    <t>TAG Musa Dwarf Cavendish 100/100 Pixie Tag</t>
  </si>
  <si>
    <t>TAG Musa Maurelli 100/100 Pixie Tag</t>
  </si>
  <si>
    <t>TAG Musa Zebrina 100/100 Pixie Tag</t>
  </si>
  <si>
    <t>TAG Mustard Greens GENERIC 100/100 Pixie Tag</t>
  </si>
  <si>
    <t>TAG Mustard Greens Miz America 100/100 Pixie Tag</t>
  </si>
  <si>
    <t>TAG Mustard Greens Red Giant 100/100 Pixie Tag</t>
  </si>
  <si>
    <t>TAG Mustard Greens Red Kingdom 100/100 Pixie Tag</t>
  </si>
  <si>
    <t>TAG Mustard Greens Savanna 100/100 Pixie Tag</t>
  </si>
  <si>
    <t>TAG Myototis Bellamy Blue Sylvatica 25/25 Portrait Tag</t>
  </si>
  <si>
    <t>TAG Myototis Bellamy Pink Sylvatica 25/25 Portrait Tag</t>
  </si>
  <si>
    <t>TAG Myototis Bellamy White Sylvatica 25/25 Portrait Tag</t>
  </si>
  <si>
    <t>TAG Myototis Bluesylva Sylvatica 25/25 Portrait Tag</t>
  </si>
  <si>
    <t>TAG Myototis Compindi 25/25 Portrait Tag</t>
  </si>
  <si>
    <t>TAG Myototis Forget Me Not GENERIC 100/100 Pixie Tag</t>
  </si>
  <si>
    <t>TAG Myototis Forget Me Not GENERIC 25/25 Portrait Tag</t>
  </si>
  <si>
    <t>TAG Myototis Mon Amie Blue 25/25 Portrait Tag</t>
  </si>
  <si>
    <t>TAG Myototis Mon Amie Mix 25/25 Portrait Tag</t>
  </si>
  <si>
    <t>TAG Myototis Mon Amie Pink 25/25 Portrait Tag</t>
  </si>
  <si>
    <t>TAG Myototis Rosylva Sylvatica 25/25 Portrait Tag</t>
  </si>
  <si>
    <t>TAG Myototis Victoria Blue 25/25 Portrait Tag</t>
  </si>
  <si>
    <t>TAG Nasturtium Alaska Mix 100/100 Pixie Tag</t>
  </si>
  <si>
    <t>TAG Nasturtium Baby Red 100/100 Pixie Tag</t>
  </si>
  <si>
    <t>TAG Nasturtium Baby Rose 100/100 Pixie Tag</t>
  </si>
  <si>
    <t>TAG Nasturtium Climbing Mix GENERIC 100/100 Pixie Tag</t>
  </si>
  <si>
    <t>TAG Nasturtium Dwarf Jewel Mix 100/100 Pixie Tag</t>
  </si>
  <si>
    <t>TAG Nasturtium Empress Of India 100/100 Pixie Tag</t>
  </si>
  <si>
    <t>TAG Nasturtium Glorious Gleam Mix 100/100 Pixie Tag</t>
  </si>
  <si>
    <t>TAG Nasturtium GENERIC 100/100 Pixie Tag</t>
  </si>
  <si>
    <t>TAG Nasturtium Pretty N Tasty 100/100 Pixie Tag</t>
  </si>
  <si>
    <t>TAG Nasturtium Red Wonder 100/100 Pixie Tag</t>
  </si>
  <si>
    <t>TAG Nasturtium Tip Top Mix 100/100 Pixie Tag</t>
  </si>
  <si>
    <t>TAG Nasturtium Tip Top Rose 100/100 Pixie Tag</t>
  </si>
  <si>
    <t>TAG Nasturtium Trailing Mix GENERIC 100/100 Pixie Tag</t>
  </si>
  <si>
    <t>TAG Nasturtium Watercress 100/100 Pixie Tag</t>
  </si>
  <si>
    <t>TAG Nasturtium Whirlybird Mix 100/100 Pixie Tag</t>
  </si>
  <si>
    <t>TAG Nematanthus Goldfish Plant GENERIC 100/100 Pixie Tag</t>
  </si>
  <si>
    <t>TAG Nemesia Angelart Banana 50/50 Petite Portrait DO FUL</t>
  </si>
  <si>
    <t>TAG Nemesia Angelart Berry Blend 50/50 Petite Portrait DO FUL</t>
  </si>
  <si>
    <t>TAG Nemesia Angelart Cherry 50/50 Petite Portrait DO FUL</t>
  </si>
  <si>
    <t>TAG Nemesia Angelart Grapefruit 50/50 Petite Portrait DO FUL</t>
  </si>
  <si>
    <t>TAG Nemesia Angelart Nectarine 50/50 Petite Portrait DO FUL</t>
  </si>
  <si>
    <t>TAG Nemesia Angelart Orange 50/50 Petite Portrait DO FUL</t>
  </si>
  <si>
    <t>TAG Nemesia Angelart Peach Improved 50/50 Petite Portrait DO FUL</t>
  </si>
  <si>
    <t>TAG Nemesia Angelart Pineapple 50/50 Petite Portrait DO FUL</t>
  </si>
  <si>
    <t>TAG Nemesia Angelart Raspberry 50/50 Petite Portrait DO FUL</t>
  </si>
  <si>
    <t>TAG Nemesia Angelart Watermelon 50/50 Petite Portrait DO FUL</t>
  </si>
  <si>
    <t>TAG Nemesia Babycakes Little Banana 100/100 Pixie Tag</t>
  </si>
  <si>
    <t>TAG Nemesia Babycakes Little Cherry 100/100 Pixie Tag</t>
  </si>
  <si>
    <t>TAG Nemesia Babycakes Little Coconut 100/100 Pixie Tag</t>
  </si>
  <si>
    <t>TAG Nemesia Babycakes Little Orange 100/100 Pixie Tag</t>
  </si>
  <si>
    <t>TAG Nemesia Babycakes Little Papaya 100/100 Pixie Tag</t>
  </si>
  <si>
    <t>TAG Nemesia Blackberry 50/50 Petite Portrait DO FUL</t>
  </si>
  <si>
    <t>TAG Nemesia Blue GENERIC 100/100 Pixie Tag</t>
  </si>
  <si>
    <t>TAG Nemesia Blueberry Custard 50/50 Petite Portrait DO FUL</t>
  </si>
  <si>
    <t>TAG Nemesia Bumbleberry 50/50 Petite Portrait DO FUL</t>
  </si>
  <si>
    <t>TAG Nemesia Escential Series 100/100 Pixie Tag DO</t>
  </si>
  <si>
    <t>TAG Nemesia Fairy Kisses Series 100/100 Pixie Tag</t>
  </si>
  <si>
    <t>TAG Nemesia Fruticans GENERIC 100/100 Pixie Tag</t>
  </si>
  <si>
    <t>TAG Nemesia GENERIC 25/25 Portrait Tag</t>
  </si>
  <si>
    <t>TAG Nemesia Honey Series 100/100 Pixie Tag</t>
  </si>
  <si>
    <t>TAG Nemesia Hybrids GENERIC 100/100 Pixie Tag</t>
  </si>
  <si>
    <t>TAG Nemesia Momento Series 100/100 Pixie Tag</t>
  </si>
  <si>
    <t>TAG Nemesia Nesia Banana Swirl 100/100 Pixie Tag</t>
  </si>
  <si>
    <t>TAG Nemesia Nesia Bananaberry 100/100 Pixie Tag</t>
  </si>
  <si>
    <t>TAG Nemesia Nesia Burgundy 100/100 Pixie Tag</t>
  </si>
  <si>
    <t>TAG Nemesia Nesia Dark Blue 100/100 Pixie Tag</t>
  </si>
  <si>
    <t>TAG Nemesia Nesia Denim 100/100 Pixie Tag</t>
  </si>
  <si>
    <t>TAG Nemesia Nesia Inca 100/100 Pixie Tag</t>
  </si>
  <si>
    <t>TAG Nemesia Nesia Magenta 100/100 Pixie Tag</t>
  </si>
  <si>
    <t>TAG Nemesia Nesia Snowangel 100/100 Pixie Tag</t>
  </si>
  <si>
    <t>TAG Nemesia Nesia Sunshine 100/100 Pixie Tag</t>
  </si>
  <si>
    <t>TAG Nemesia Nesia Tangerine 100/100 Pixie Tag</t>
  </si>
  <si>
    <t>TAG Nemesia Nesia Tropical 100/100 Pixie Tag</t>
  </si>
  <si>
    <t>TAG Nemesia Nesia Tutti Frutti 100/100 Pixie Tag</t>
  </si>
  <si>
    <t>TAG Nemesia Nessie Plus Berry 100/100 Pixie Tag</t>
  </si>
  <si>
    <t>TAG Nemesia Nessie Plus Deep Red 50/50 Petite Portrait DO FUL</t>
  </si>
  <si>
    <t>TAG Nemesia Nessie Plus Orange 100/100 Pixie Tag</t>
  </si>
  <si>
    <t>TAG Nemesia Nessie Plus Purple 50/50 Petite Portrait DO FUL</t>
  </si>
  <si>
    <t>TAG Nemesia Nessie Plus Raspberry 100/100 Pixie Tag</t>
  </si>
  <si>
    <t>TAG Nemesia Nessie Plus Red 100/100 Pixie Tag</t>
  </si>
  <si>
    <t>TAG Nemesia Nessie Plus Soft Pink 100/100 Pixie Tag</t>
  </si>
  <si>
    <t>TAG Nemesia Nessie Plus White 100/100 Pixie Tag</t>
  </si>
  <si>
    <t>TAG Nemesia Nessie Plus Yellow 50/50 Petite Portrait DO FUL</t>
  </si>
  <si>
    <t>TAG Nemesia Nessie Up Series 100/100 Pixie Tag</t>
  </si>
  <si>
    <t>TAG Nemesia Penhow Cherry Blue 50/50 Petite Portrait DO FUL</t>
  </si>
  <si>
    <t>TAG Nemesia Pinkberry 50/50 Petite Portrait DO FUL</t>
  </si>
  <si>
    <t>TAG Nemesia Poetry Blue 100/100 Pixie Tag</t>
  </si>
  <si>
    <t>TAG Nemesia Poetry Series 100/100 Pixie Tag</t>
  </si>
  <si>
    <t>TAG Nemesia Pretty Please Blue Bicolor 100/100 Pixie Tag SF</t>
  </si>
  <si>
    <t>TAG Nemesia Pretty Please Pink Bicolor 100/100 Pixie Tag SF</t>
  </si>
  <si>
    <t>TAG Nemesia Raspberry Lemonade 50/50 Petite Portrait DO FUL</t>
  </si>
  <si>
    <t>TAG Nemesia Seventh Heaven Mix 100/100 Pixie Tag SF</t>
  </si>
  <si>
    <t>TAG Nemesia Strawberry 50/50 Petite Portrait DO FUL</t>
  </si>
  <si>
    <t>TAG Nemesia Sugarberry 50/50 Petite Portrait DO FUL</t>
  </si>
  <si>
    <t>TAG Nemesia Sundrops Mix 100/100 Pixie Tag</t>
  </si>
  <si>
    <t>TAG Nepeta Blue Dragon Yunnanensis 25/25 Portrait Tag</t>
  </si>
  <si>
    <t>TAG Nepeta Blue Dreams Subsessilis 25/25 Portrait Tag</t>
  </si>
  <si>
    <t>TAG Nepeta Blue Wonder X Faassenii 25/25 Portrait Tag</t>
  </si>
  <si>
    <t>TAG Nepeta Catmint GENERIC 100/100 Pixie Tag</t>
  </si>
  <si>
    <t>TAG Nepeta Catnip 100/100 Pixie Tag</t>
  </si>
  <si>
    <t>TAG Nepeta Catnip 25/25 Portrait Tag</t>
  </si>
  <si>
    <t>TAG Nepeta Chartreuse On The Loose 25/25 Portrait Tag</t>
  </si>
  <si>
    <t>TAG Nepeta Dropmore X Faassenii 25/25 Portrait Tag</t>
  </si>
  <si>
    <t>TAG Nepeta X Faassenii 25/25 Portrait Tag</t>
  </si>
  <si>
    <t>TAG Nepeta Junior Walker 100/100 Pixie Tag DO FUL</t>
  </si>
  <si>
    <t>TAG Nepeta Junior Walker X Faassenii 25/25 Portrait Tag</t>
  </si>
  <si>
    <t>TAG Nepeta Kit Cat Kit Kat 25/25 Portrait Tag</t>
  </si>
  <si>
    <t>TAG Nepeta Mussinii 100/100 Pixie Tag</t>
  </si>
  <si>
    <t>TAG Nepeta Nova Blue 25/25 Portrait Tag</t>
  </si>
  <si>
    <t>TAG Nepeta Picture Purrfect 25/25 Portrait Tag</t>
  </si>
  <si>
    <t>TAG Nepeta Pink Cat Nervosa 25/25 Portrait Tag</t>
  </si>
  <si>
    <t>TAG Nepeta Prelude Blue 25/25 Portrait Tag</t>
  </si>
  <si>
    <t>TAG Nepeta Prelude Purple Subsessilis 25/25 Portrait Tag</t>
  </si>
  <si>
    <t>TAG Nepeta Purple Haze 25/25 Portrait Tag</t>
  </si>
  <si>
    <t>TAG Nepeta Six Hills Giant 25/25 Portrait Tag</t>
  </si>
  <si>
    <t>TAG Nepeta Walker's Low 100/100 Pixie Tag DO FUL</t>
  </si>
  <si>
    <t>TAG Nepeta Walker's Low 25/25 Portrait Tag</t>
  </si>
  <si>
    <t>TAG Nepeta Walker's Low 50/50 Petite Portrait DO FUL</t>
  </si>
  <si>
    <t>TAG Nepeta Whispurr Blue X Faassenii 25/25 Portrait Tag</t>
  </si>
  <si>
    <t>TAG Nepeta Whispurr Pink 25/25 Portrait Tag</t>
  </si>
  <si>
    <t>TAG Nicotiana Avalon Mix 100/100 Pixie Tag</t>
  </si>
  <si>
    <t>TAG Nicotiana GENERIC 100/100 Pixie Tag</t>
  </si>
  <si>
    <t>TAG Nicotiana Only The Lonely 100/100 Pixie Tag</t>
  </si>
  <si>
    <t>TAG Nicotiana Perfume Ball Mix 100/100 Pixie Tag SF</t>
  </si>
  <si>
    <t>TAG Nicotiana Perfume Deep Purple 100/100 Pixie Tag SF</t>
  </si>
  <si>
    <t>TAG Nicotiana Perfume Red 100/100 Pixie Tag SF</t>
  </si>
  <si>
    <t>TAG Nicotiana Perfume Series 100/100 Pixie Tag SF</t>
  </si>
  <si>
    <t>TAG Nicotiana Saratoga Appleblossom 100/100 Pixie Tag SF</t>
  </si>
  <si>
    <t>TAG Nicotiana Saratoga Lime 100/100 Pixie Tag SF</t>
  </si>
  <si>
    <t>TAG Nicotiana Saratoga Mix 100/100 Pixie Tag SF</t>
  </si>
  <si>
    <t>TAG Nicotiana Saratoga Purple Bicolor 100/100 Pixie Tag SF</t>
  </si>
  <si>
    <t>TAG Nicotiana Saratoga Red 100/100 Pixie Tag SF</t>
  </si>
  <si>
    <t>TAG Nicotiana Saratoga Rose 100/100 Pixie Tag SF</t>
  </si>
  <si>
    <t>TAG Nicotiana Saratoga White 100/100 Pixie Tag SF</t>
  </si>
  <si>
    <t>TAG Nicotiana Starmaker Appleblossom 100/100 Pixie Tag</t>
  </si>
  <si>
    <t>TAG Nicotiana Starmaker Bright Red 100/100 Pixie Tag</t>
  </si>
  <si>
    <t>TAG Nicotiana Starmaker Deep Lime 100/100 Pixie Tag</t>
  </si>
  <si>
    <t>TAG Nicotiana Starmaker Lime Purple Bicolor 100/100 Pixie Tag</t>
  </si>
  <si>
    <t>TAG Nicotiana Starmaker Series 100/100 Pixie Tag</t>
  </si>
  <si>
    <t>TAG Nicotiana Starmaker White 100/100 Pixie Tag</t>
  </si>
  <si>
    <t>TAG Nicotiana Sylvestris 100/100 Pixie Tag</t>
  </si>
  <si>
    <t>TAG Nierembergia Robe Purple 100/100 Pixie Tag</t>
  </si>
  <si>
    <t>TAG Nierembergia Robe White 100/100 Pixie Tag</t>
  </si>
  <si>
    <t>TAG Nigella Love In A Mist GENERIC 100/100 Pixie Tag</t>
  </si>
  <si>
    <t>TAG Nipponanthemum Montauk Dsy Nipponicum 100/100 Pixie Tag</t>
  </si>
  <si>
    <t>TAG Nipponanthemum Nippon Daisy Nipponicum 25/25 Portrait Tag</t>
  </si>
  <si>
    <t>TAG Oenothera Evening Sun 25/25 Portrait Tag</t>
  </si>
  <si>
    <t>TAG Oenothera Glowing Magenta Kunthiana 25/25 Portrait Tag</t>
  </si>
  <si>
    <t>TAG Oenothera Missouriensis 100/100 Pixie Tag</t>
  </si>
  <si>
    <t>TAG Oenothera Missouriensis 25/25 Portrait Tag</t>
  </si>
  <si>
    <t>TAG Oenothera Pink Speciosa 25/25 Portrait Tag</t>
  </si>
  <si>
    <t>TAG Oenothera Siskiyou 100/100 Pixie Tag DO FUL</t>
  </si>
  <si>
    <t>TAG Oenothera Siskiyou Berlandieri 100/100 Pixie Tag</t>
  </si>
  <si>
    <t>TAG Oenothera Siskiyou Berlandieri 25/25 Portrait Tag</t>
  </si>
  <si>
    <t>TAG Oenothera Sunset Boulevard 25/25 Portrait Tag</t>
  </si>
  <si>
    <t>TAG Oenothera Twilight 100/100 Pixie Tag DO FUL</t>
  </si>
  <si>
    <t>TAG Oenothera Youngii Fruticosa 25/25 Portrait Tag</t>
  </si>
  <si>
    <t>TAG Okra Annie Oakley II 100/100 Pixie Tag</t>
  </si>
  <si>
    <t>TAG Okra Cajun Delight 100/100 Pixie Tag</t>
  </si>
  <si>
    <t>TAG Okra Candle Fire 100/100 Pixie Tag</t>
  </si>
  <si>
    <t>TAG Okra Clemson Spineless 100/100 Pixie Tag</t>
  </si>
  <si>
    <t>TAG Okra French Quarter Pink 100/100 Pixie Tag</t>
  </si>
  <si>
    <t>TAG Okra French Quarter Red 100/100 Pixie Tag</t>
  </si>
  <si>
    <t>TAG Okra GENERIC 100/100 Pixie Tag</t>
  </si>
  <si>
    <t>TAG Okra Green Fingers 100/100 Pixie Tag SF</t>
  </si>
  <si>
    <t>TAG Okra Jambalaya 100/100 Pixie Tag</t>
  </si>
  <si>
    <t>TAG Onion Copra 100/100 Pixie Tag</t>
  </si>
  <si>
    <t>TAG Onion Georgia Sweet 100/100 Pixie Tag</t>
  </si>
  <si>
    <t>TAG Onion Kelsae Sweet Giant 100/100 Pixie Tag</t>
  </si>
  <si>
    <t>TAG Onion Red Burgermaster 100/100 Pixie Tag</t>
  </si>
  <si>
    <t>TAG Onion Red GENERIC 100/100 Pixie Tag</t>
  </si>
  <si>
    <t>TAG Onion Red Nugent 100/100 Pixie Tag</t>
  </si>
  <si>
    <t>TAG Onion Ruby 100/100 Pixie Tag</t>
  </si>
  <si>
    <t>TAG Onion Super Star 100/100 Pixie Tag</t>
  </si>
  <si>
    <t>TAG Onion Texas Sweet 100/100 Pixie Tag</t>
  </si>
  <si>
    <t>TAG Onion Vidalia 100/100 Pixie Tag</t>
  </si>
  <si>
    <t>TAG Onion Walla Walla 100/100 Pixie Tag</t>
  </si>
  <si>
    <t>TAG Onion White GENERIC 100/100 Pixie Tag</t>
  </si>
  <si>
    <t>TAG Onion White Sweet Spanish 100/100 Pixie Tag</t>
  </si>
  <si>
    <t>TAG Onion Yellow GENERIC 100/100 Pixie Tag</t>
  </si>
  <si>
    <t>TAG Onion Yellow Sweet Spanish 100/100 Pixie Tag</t>
  </si>
  <si>
    <t>TAG Onion Yukon 100/100 Pixie Tag</t>
  </si>
  <si>
    <t>TAG Ophiopogon Mondo GENERIC 100/100 Pixie Tag</t>
  </si>
  <si>
    <t>TAG Oplismenus Basket 100/100 Pixie Tag</t>
  </si>
  <si>
    <t>TAG Orchid GENERIC 100/100 Pixie Tag</t>
  </si>
  <si>
    <t>TAG Oregano Aureum Golden 25/25 Portrait Tag</t>
  </si>
  <si>
    <t>TAG Oregano Aureum Golden 50/50 Petite Portrait DO FUL</t>
  </si>
  <si>
    <t>TAG Oregano Cleopatra Syrian 100/100 Pixie Tag</t>
  </si>
  <si>
    <t>TAG Oregano Compact 100/100 Pixie Tag</t>
  </si>
  <si>
    <t>TAG Oregano Compact 25/25 Portrait Tag</t>
  </si>
  <si>
    <t>TAG Oregano Compact 50/50 Petite Portrait DO FUL</t>
  </si>
  <si>
    <t>TAG Oregano Cuban 100/100 Pixie Tag</t>
  </si>
  <si>
    <t>TAG Oregano GENERIC 100/100 Pixie Tag</t>
  </si>
  <si>
    <t>TAG Oregano GENERIC 200/200 Thriftee Tag</t>
  </si>
  <si>
    <t>TAG Oregano GENERIC 25/25 Portrait Tag</t>
  </si>
  <si>
    <t>TAG Oregano Gilt Trip 25/25 Portrait Tag</t>
  </si>
  <si>
    <t>TAG Oregano Golden 100/100 Pixie Tag</t>
  </si>
  <si>
    <t>TAG Oregano Greek 100/100 Pixie Tag</t>
  </si>
  <si>
    <t>TAG Oregano Greek 100/100 Pixie Tag DO FUL</t>
  </si>
  <si>
    <t>TAG Oregano Greek 25/25 Portrait Tag</t>
  </si>
  <si>
    <t>TAG Oregano Greek 50/50 Petite Portrait DO FUL</t>
  </si>
  <si>
    <t>TAG Oregano Hot And Spicy 100/100 Pixie Tag</t>
  </si>
  <si>
    <t>TAG Oregano Hot And Spicy 100/100 Pixie Tag DO FUL</t>
  </si>
  <si>
    <t>TAG Oregano Hot And Spicy 25/25 Portrait Tag</t>
  </si>
  <si>
    <t>TAG Oregano Italian 100/100 Pixie Tag</t>
  </si>
  <si>
    <t>TAG Oregano Italian 100/100 Pixie Tag DO FUL</t>
  </si>
  <si>
    <t>TAG Oregano Italian 25/25 Portrait Tag</t>
  </si>
  <si>
    <t>TAG Oregano Kent Beauty 100/100 Pixie Tag</t>
  </si>
  <si>
    <t>TAG Oregano Kent Beauty 100/100 Pixie Tag DO FUL</t>
  </si>
  <si>
    <t>TAG Oregano Kent Beauty 25/25 Portrait Tag</t>
  </si>
  <si>
    <t>TAG Oregano Kent Beauty 50/50 Petite Portrait DO FUL</t>
  </si>
  <si>
    <t>TAG Oregano Mexican 100/100 Pixie Tag</t>
  </si>
  <si>
    <t>TAG Oregano Supreme 100/100 Pixie Tag</t>
  </si>
  <si>
    <t>TAG Oregano Sweet Marjoram 100/100 Pixie Tag DO FUL</t>
  </si>
  <si>
    <t>TAG Oregano Variegated 100/100 Pixie Tag</t>
  </si>
  <si>
    <t>TAG Oregano Variegated 25/25 Portrait Tag</t>
  </si>
  <si>
    <t>TAG Oregano Variegated 50/50 Petite Portrait DO FUL</t>
  </si>
  <si>
    <t>TAG Ornamental Allium One Mix 25/25 Portrait Tag</t>
  </si>
  <si>
    <t>TAG Ornamental Allium One Pink One 25/25 Portrait Tag</t>
  </si>
  <si>
    <t>TAG Ornamental Allium One Purple One 25/25 Portrait Tag</t>
  </si>
  <si>
    <t>TAG Ornamental Allium One White One 25/25 Portrait Tag</t>
  </si>
  <si>
    <t>TAG Ornamental Broccoli GENERIC 100/100 Pixie Tag</t>
  </si>
  <si>
    <t>TAG Ornamental Cabbage GENERIC 100/100 Pixie Tag</t>
  </si>
  <si>
    <t>TAG Ornamental Cabbage Osaka IQ Mix 100/100 Pixie Tag</t>
  </si>
  <si>
    <t>TAG Ornamental Cabbage Osaka IQ White 100/100 Pixie Tag</t>
  </si>
  <si>
    <t>TAG Ornamental Corn Field Of Dreams 100/100 Pixie Tag</t>
  </si>
  <si>
    <t>TAG Ornamental Corn Pink Zebra 100/100 Pixie Tag</t>
  </si>
  <si>
    <t>TAG Ornamental Gourds Benary's 100/100 Pixie Tag</t>
  </si>
  <si>
    <t>TAG Ornamental Grass GENERIC 100/100 Pixie Tag</t>
  </si>
  <si>
    <t>TAG Ornamental Grass GENERIC 25/25 Portrait Tag</t>
  </si>
  <si>
    <t>TAG Ornamental Kale Bright And Early Bicolor 100/100 Pixie Tag</t>
  </si>
  <si>
    <t>TAG Ornamental Kale Bright And Early Mix 100/100 Pixie Tag</t>
  </si>
  <si>
    <t>TAG Ornamental Kale Bright And Early Red 100/100 Pixie Tag</t>
  </si>
  <si>
    <t>TAG Ornamental Kale Bright And Early White 100/100 Pixie Tag</t>
  </si>
  <si>
    <t>TAG Ornamental Kale GENERIC 100/100 Pixie Tag</t>
  </si>
  <si>
    <t>TAG Ornamental Oregano Kirigami 25/25 Portrait Tag</t>
  </si>
  <si>
    <t>TAG Ornamental Pepper GENERIC 100/100 Pixie Tag</t>
  </si>
  <si>
    <t>TAG Orostachys Iwarenge 100/100 Pixie Tag</t>
  </si>
  <si>
    <t>TAG Osteospermum Akila Daisy White 100/100 Pixie Tag</t>
  </si>
  <si>
    <t>TAG Osteospermum Akila Grand Canyon Mix 100/100 Pixie Tag</t>
  </si>
  <si>
    <t>TAG Osteospermum Akila Hawaii Sunset Mix 100/100 Pixie Tag</t>
  </si>
  <si>
    <t>TAG Osteospermum Akila Lavender Shades 100/100 Pixie Tag</t>
  </si>
  <si>
    <t>TAG Osteospermum Akila Mix 100/100 Pixie Tag</t>
  </si>
  <si>
    <t>TAG Osteospermum Akila Purple 100/100 Pixie Tag</t>
  </si>
  <si>
    <t>TAG Osteospermum Akila Sunset Shades 100/100 Pixie Tag</t>
  </si>
  <si>
    <t>TAG Osteospermum Akila White 100/100 Pixie Tag</t>
  </si>
  <si>
    <t>TAG Osteospermum Akila White Purple Eye 100/100 Pixie Tag</t>
  </si>
  <si>
    <t>TAG Osteospermum Asti Lavender Shades 100/100 Pixie Tag SF</t>
  </si>
  <si>
    <t>TAG Osteospermum Asti Mix 100/100 Pixie Tag SF</t>
  </si>
  <si>
    <t>TAG Osteospermum Asti Purple 100/100 Pixie Tag SF</t>
  </si>
  <si>
    <t>TAG Osteospermum Asti White 100/100 Pixie Tag SF</t>
  </si>
  <si>
    <t>TAG Osteospermum Astra Series 100/100 Pixie Tag</t>
  </si>
  <si>
    <t>TAG Osteospermum Gelato Series 100/100 Pixie Tag</t>
  </si>
  <si>
    <t>TAG Osteospermum GENERIC 100/100 Pixie Tag</t>
  </si>
  <si>
    <t>TAG Osteospermum GENERIC 25/25 Portrait Tag</t>
  </si>
  <si>
    <t>TAG Osteospermum Margarita Bronze Bicolor 50/50 Petite Portrait DO FUL</t>
  </si>
  <si>
    <t>TAG Osteospermum Margarita Bronze Flare 50/50 Petite Portrait DO FUL</t>
  </si>
  <si>
    <t>TAG Osteospermum Margarita Cool Purple 50/50 Petite Portrait DO FUL</t>
  </si>
  <si>
    <t>TAG Osteospermum Margarita Creme 50/50 Petite Portrait DO FUL</t>
  </si>
  <si>
    <t>TAG Osteospermum Margarita Dark Lilac 50/50 Petite Portrait DO FUL</t>
  </si>
  <si>
    <t>TAG Osteospermum Margarita Dark Pink 50/50 Petite Portrait DO FUL</t>
  </si>
  <si>
    <t>TAG Osteospermum Margarita Dark Purple 50/50 Petite Portrait DO FUL</t>
  </si>
  <si>
    <t>TAG Osteospermum Margarita Eclipse 50/50 Petite Portrait DO FUL</t>
  </si>
  <si>
    <t>TAG Osteospermum Margarita Golden Yellow 50/50 Pixie TAG DO FUL</t>
  </si>
  <si>
    <t>TAG Osteospermum Margarita Kardinal 50/50 Petite Portrait DO FUL</t>
  </si>
  <si>
    <t>TAG Osteospermum Margarita Lilac 50/50 Petite Portrait DO FUL</t>
  </si>
  <si>
    <t>TAG Osteospermum Margarita Orange Flare 50/50 Petite Portrait DO FUL</t>
  </si>
  <si>
    <t>TAG Osteospermum Margarita Pink Flare 50/50 Petite Portrait DO FUL</t>
  </si>
  <si>
    <t>TAG Osteospermum Margarita Plus Lilac 50/50 Petite Portrait DO FUL</t>
  </si>
  <si>
    <t>TAG Osteospermum Margarita Plus Pink 50/50 Petite Portrait DO FUL</t>
  </si>
  <si>
    <t>TAG Osteospermum Margarita Plus Purple 50/50 Petite Portrait DO FUL</t>
  </si>
  <si>
    <t>TAG Osteospermum Margarita Plus White 50/50 Petite Portrait DO FUL</t>
  </si>
  <si>
    <t>TAG Osteospermum Margarita Plus Yellow 50/50 Petite Portrait DO FUL</t>
  </si>
  <si>
    <t>TAG Osteospermum Margarita Plus Zebra Pink 50/50 Petite Portrait DO FUL</t>
  </si>
  <si>
    <t>TAG Osteospermum Margarita Purple 50/50 Petite Portrait DO FUL</t>
  </si>
  <si>
    <t>TAG Osteospermum Margarita Rioja Red 50/50 Petite Portrait DO FUL</t>
  </si>
  <si>
    <t>TAG Osteospermum Margarita Soft Pink 50/50 Petite Portrait DO FUL</t>
  </si>
  <si>
    <t>TAG Osteospermum Margarita White 50/50 Petite Portrait DO FUL</t>
  </si>
  <si>
    <t>TAG Osteospermum Margarita Yellow Improved 50/50 Petite Portrait DO FUL</t>
  </si>
  <si>
    <t>TAG Osteospermum Ostica Amethyst 100/100 Pixie Tag</t>
  </si>
  <si>
    <t>TAG Osteospermum Ostica Bronze 100/100 Pixie Tag</t>
  </si>
  <si>
    <t>TAG Osteospermum Ostica Burgundy 100/100 Pixie Tag</t>
  </si>
  <si>
    <t>TAG Osteospermum Ostica Glamour 100/100 Pixie Tag</t>
  </si>
  <si>
    <t>TAG Osteospermum Ostica Mega Pink 100/100 Pixie Tag</t>
  </si>
  <si>
    <t>TAG Osteospermum Ostica Midnight 100/100 Pixie Tag</t>
  </si>
  <si>
    <t>TAG Osteospermum Ostica Pink 100/100 Pixie Tag</t>
  </si>
  <si>
    <t>TAG Osteospermum Ostica Purple 100/100 Pixie Tag</t>
  </si>
  <si>
    <t>TAG Osteospermum Ostica Purple Eye 100/100 Pixie Tag</t>
  </si>
  <si>
    <t>TAG Osteospermum Ostica Series 100/100 Pixie Tag</t>
  </si>
  <si>
    <t>TAG Osteospermum Osticade Aurora 100/100 Pixie Tag</t>
  </si>
  <si>
    <t>TAG Osteospermum Osticade Daybreak 100/100 Pixie Tag</t>
  </si>
  <si>
    <t>TAG Osteospermum Osticade Magenta 100/100 Pixie Tag</t>
  </si>
  <si>
    <t>TAG Osteospermum Osticade Pink 100/100 Pixie Tag</t>
  </si>
  <si>
    <t>TAG Osteospermum Osticade Pure White 100/100 Pixie Tag</t>
  </si>
  <si>
    <t>TAG Osteospermum Osticade Purple 100/100 Pixie Tag</t>
  </si>
  <si>
    <t>TAG Osteospermum Osticade Twilight Moon 100/100 Pixie Tag</t>
  </si>
  <si>
    <t>TAG Osteospermum Osticade Yellow 100/100 Pixie Tag</t>
  </si>
  <si>
    <t>TAG Osteospermum Passion Mix 100/100 Pixie Tag</t>
  </si>
  <si>
    <t>TAG Osteospermum Summersmile Series 100/100 Pixie Tag</t>
  </si>
  <si>
    <t>TAG Osteospermum Summertime Blue Sunrise 50/50 Petite Portrait DO FUL</t>
  </si>
  <si>
    <t>TAG Osteospermum Summertime Kardinal 50/50 Petite Portrait DO FUL</t>
  </si>
  <si>
    <t>TAG Osteospermum Tradewinds Bronze Improved 50/50 Petite Portrait SF FUL</t>
  </si>
  <si>
    <t>TAG Osteospermum Tradewinds Cinnamon 50/50 Petite Portrait SF FUL</t>
  </si>
  <si>
    <t>TAG Osteospermum Tradewinds Compact Rose 50/50 Petite Portrait SF FUL</t>
  </si>
  <si>
    <t>TAG Osteospermum Tradewinds Deep Purple 50/50 Petite Portrait SF FUL</t>
  </si>
  <si>
    <t>TAG Osteospermum Tradewinds Lemon Zest 50/50 Petite Portrait SF FUL</t>
  </si>
  <si>
    <t>TAG Osteospermum Tradewinds Light Purple 50/50 Petite Portrait SF FUL</t>
  </si>
  <si>
    <t>TAG Osteospermum Tradewinds Purple Bicolor 50/50 Petite Portrait SF FUL</t>
  </si>
  <si>
    <t>TAG Osteospermum Tradewinds Rose 50/50 Petite Portrait SF FUL</t>
  </si>
  <si>
    <t>TAG Osteospermum Tradewinds Sunset 50/50 Petite Portrait SF FUL</t>
  </si>
  <si>
    <t>TAG Osteospermum Tradewinds Trailing White 50/50 Petite Portrait SF FUL</t>
  </si>
  <si>
    <t>TAG Osteospermum Tradewinds White 50/50 Petite Portrait SF FUL</t>
  </si>
  <si>
    <t>TAG Osteospermum Tradewinds Yellow 50/50 Petite Portrait SF FUL</t>
  </si>
  <si>
    <t>TAG Oxalis Burgundy 100/100 Pixie Tag</t>
  </si>
  <si>
    <t>TAG Oxalis Green 100/100 Pixie Tag</t>
  </si>
  <si>
    <t>TAG Oxalis Regnellii 100/100 Pixie Tag</t>
  </si>
  <si>
    <t>TAG Oxalis Sunset Velvet 100/100 Pixie Tag</t>
  </si>
  <si>
    <t>TAG Oxalis Triangularis 100/100 Pixie Tag</t>
  </si>
  <si>
    <t>TAG Pachira Money Tree 100/100 Pixie Tag</t>
  </si>
  <si>
    <t>TAG Pachyphytum Bracteosum 100/100 Pixie Tag DO FUL</t>
  </si>
  <si>
    <t>TAG Pachyphytum Moonstone GENERIC 100/100 Pixie Tag</t>
  </si>
  <si>
    <t>TAG Pachystachys Green Carpet 100/100 Pixie Tag DO FUL</t>
  </si>
  <si>
    <t>TAG Pachystachys Green Sheen 100/100 Pixie Tag DO FUL</t>
  </si>
  <si>
    <t>TAG Pachystachys Green Sheen 25/25 Portrait Tag</t>
  </si>
  <si>
    <t>TAG Pachystachys Silver Edge 100/100 Pixie Tag DO FUL</t>
  </si>
  <si>
    <t>TAG Pachystachys Terminalis 100/100 Pixie Tag DO FUL</t>
  </si>
  <si>
    <t>TAG Pachystachys Terminalis GENERIC 100/100 Pixie Tag</t>
  </si>
  <si>
    <t>TAG Pachystachys Terminalis GENERIC 25/25 Portrait Tag</t>
  </si>
  <si>
    <t>TAG Pachyveria Corvus 100/100 Pixie Tag DO FUL</t>
  </si>
  <si>
    <t>TAG Pachyveria Draco 100/100 Pixie Tag DO FUL</t>
  </si>
  <si>
    <t>TAG Pachyveria Opalina 100/100 Pixie Tag DO FUL</t>
  </si>
  <si>
    <t>TAG Peony Paeoni Corto Bicolor 50/50 Petite Portrait DO FUL</t>
  </si>
  <si>
    <t>TAG Peony Paeoni Corto Pink 50/50 Petite Portrait DO FUL</t>
  </si>
  <si>
    <t>TAG Peony Paeoni Corto Red 50/50 Petite Portrait DO FUL</t>
  </si>
  <si>
    <t>TAG Peony Paeoni Dwarf Pink 50/50 Petite Portrait DO FUL</t>
  </si>
  <si>
    <t>TAG Peony Paeoni Dwarf Red 50/50 Petite Portrait DO FUL</t>
  </si>
  <si>
    <t>TAG Peony Paeoni Happy Maroon 50/50 Petite Portrait DO FUL</t>
  </si>
  <si>
    <t>TAG Peony Paeoni Happy Pink 50/50 Petite Portrait DO FUL</t>
  </si>
  <si>
    <t>TAG Peony Paeoni Happy Red 50/50 Petite Portrait DO FUL</t>
  </si>
  <si>
    <t>TAG Peony Paeoni Happy Salmon 50/50 Petite Portrait DO FUL</t>
  </si>
  <si>
    <t>TAG Peony Paeoni Happy White 50/50 Petite Portrait DO FUL</t>
  </si>
  <si>
    <t>TAG Peony Karl Rosenfield 25/25 Portrait Tag</t>
  </si>
  <si>
    <t>TAG Peony GENERIC 25/25 Portrait Tag</t>
  </si>
  <si>
    <t>TAG Peony Pink Double GENERIC 25/25 Portrait Tag</t>
  </si>
  <si>
    <t>TAG Peony Red Double GENERIC 25/25 Portrait Tag</t>
  </si>
  <si>
    <t>TAG Peony Sarah Bernhardt 25/25 Portrait Tag</t>
  </si>
  <si>
    <t>TAG Peony White Double GENERIC 25/25 Portrait Tag</t>
  </si>
  <si>
    <t>TAG Panicum Heavy Metal 25/25 Portrait Tag</t>
  </si>
  <si>
    <t>TAG Panicum Northwind 25/25 Portrait Tag</t>
  </si>
  <si>
    <t>TAG Panicum Shenandoah 25/25 Portrait Tag</t>
  </si>
  <si>
    <t>TAG Pansy Admire Blackberry Mix 100/100 Pixie Tag</t>
  </si>
  <si>
    <t>TAG Pansy Admire Blue 100/100 Pixie Tag</t>
  </si>
  <si>
    <t>TAG Pansy Admire Deep Blue 100/100 Pixie Tag</t>
  </si>
  <si>
    <t>TAG Pansy Admire Deep Purple Face 100/100 Pixie Tag</t>
  </si>
  <si>
    <t>TAG Pansy Admire Jolly Face 100/100 Pixie Tag</t>
  </si>
  <si>
    <t>TAG Pansy Admire Lavender Pink Face 100/100 Pixie Tag</t>
  </si>
  <si>
    <t>TAG Pansy Admire Mix 100/100 Pixie Tag</t>
  </si>
  <si>
    <t>TAG Pansy Admire Neon Purple Wing 100/100 Pixie Tag</t>
  </si>
  <si>
    <t>TAG Pansy Admire Orchid 100/100 Pixie Tag</t>
  </si>
  <si>
    <t>TAG Pansy Admire Orange Purple Wing 100/100 Pixie Tag</t>
  </si>
  <si>
    <t>TAG Pansy Admire Red Blotch 100/100 Pixie Tag</t>
  </si>
  <si>
    <t>TAG Pansy Admire Yellow Blotch 100/100 Pixie Tag</t>
  </si>
  <si>
    <t>TAG Pansy Antique Shades GENERIC 100/100 Pixie Tag</t>
  </si>
  <si>
    <t>TAG Pansy Atlas Black 100/100 Pixie Tag</t>
  </si>
  <si>
    <t>TAG Pansy Blue GENERIC 100/100 Pixie Tag</t>
  </si>
  <si>
    <t>TAG Pansy Blue Bilingual GENERIC 100/100 Pixie Tag</t>
  </si>
  <si>
    <t>TAG Pansy Blue With Blotch Bilingual GENERIC 100/100 Pixie Tag</t>
  </si>
  <si>
    <t>TAG Pansy Blotch Mix Bilingual GENERIC 100/100 Pixie Tag</t>
  </si>
  <si>
    <t>TAG Pansy Blueberry Thrill 100/100 Pixie Tag</t>
  </si>
  <si>
    <t>TAG Pansy Bolero Mix 100/100 Pixie Tag</t>
  </si>
  <si>
    <t>TAG Pansy Cats Mix 100/100 Pixie Tag</t>
  </si>
  <si>
    <t>TAG Pansy Cats Plus Blue And Yellow 100/100 Pixie Tag</t>
  </si>
  <si>
    <t>TAG Pansy Cats Plus Marina 100/100 Pixie Tag</t>
  </si>
  <si>
    <t>TAG Pansy Cats Plus Mix 100/100 Pixie Tag</t>
  </si>
  <si>
    <t>TAG Pansy Cats Plus Purple And White 100/100 Pixie Tag</t>
  </si>
  <si>
    <t>TAG Pansy Cats Plus White 100/100 Pixie Tag</t>
  </si>
  <si>
    <t>TAG Pansy Cats Plus Yellow 100/100 Pixie Tag</t>
  </si>
  <si>
    <t>TAG Pansy Celestial Blue Moon 100/100 Pixie Tag DO FUL</t>
  </si>
  <si>
    <t>TAG Pansy Celestial Northern Lights 100/100 Pixie Tag DO FUL</t>
  </si>
  <si>
    <t>TAG Pansy Celestial Starry Night 100/100 Pixie Tag DO FUL</t>
  </si>
  <si>
    <t>TAG Pansy Clear GENERIC 100/100 Pixie Tag</t>
  </si>
  <si>
    <t>TAG Pansy ColorMax Beacon Rose 100/100 Pixie Tag</t>
  </si>
  <si>
    <t>TAG Pansy ColorMax Berry Pie 100/100 Pixie Tag</t>
  </si>
  <si>
    <t>TAG Pansy ColorMax Citrus Mix 100/100 Pixie Tag</t>
  </si>
  <si>
    <t>TAG Pansy ColorMax Clear Orange 100/100 Pixie Tag</t>
  </si>
  <si>
    <t>TAG Pansy ColorMax Clear Purple 100/100 Pixie Tag</t>
  </si>
  <si>
    <t>TAG Pansy ColorMax Clear Yellow 100/100 Pixie Tag</t>
  </si>
  <si>
    <t>TAG Pansy ColorMax Icy Blue 100/100 Pixie Tag</t>
  </si>
  <si>
    <t>TAG Pansy ColorMax Lemon Splash 100/100 Pixie Tag</t>
  </si>
  <si>
    <t>TAG Pansy ColorMax Lemonberry Pie Mix 100/100 Pixie Tag</t>
  </si>
  <si>
    <t>TAG Pansy ColorMax Mix 100/100 Pixie Tag</t>
  </si>
  <si>
    <t>TAG Pansy ColorMax Popcorn 100/100 Pixie Tag</t>
  </si>
  <si>
    <t>TAG Pansy ColorMax Purple Glow 100/100 Pixie Tag</t>
  </si>
  <si>
    <t>TAG Pansy ColorMax Royal Mix 100/100 Pixie Tag</t>
  </si>
  <si>
    <t>TAG Pansy ColorMax Rose With Blotch 100/100 Pixie Tag</t>
  </si>
  <si>
    <t>TAG Pansy ColorMax True Blue 100/100 Pixie Tag</t>
  </si>
  <si>
    <t>TAG Pansy ColorMax Yellow Jump Up 100/100 Pixie Tag</t>
  </si>
  <si>
    <t>TAG Pansy Colossal Mix 100/100 Pixie Tag</t>
  </si>
  <si>
    <t>TAG Pansy Colossus Blotch Mix 100/100 Pixie Tag SF</t>
  </si>
  <si>
    <t>TAG Pansy Colossus Blue With Blotch 100/100 Pixie Tag SF</t>
  </si>
  <si>
    <t>TAG Pansy Colossus Deep Blue With Blotch 100/100 Pixie Tag SF</t>
  </si>
  <si>
    <t>TAG Pansy Colossus Fire 100/100 Pixie Tag SF</t>
  </si>
  <si>
    <t>TAG Pansy Colossus Lavender Medley 100/100 Pixie Tag SF</t>
  </si>
  <si>
    <t>TAG Pansy Colossus Lemon Shades 100/100 Pixie Tag SF</t>
  </si>
  <si>
    <t>TAG Pansy Colossus Marina 100/100 Pixie Tag</t>
  </si>
  <si>
    <t>TAG Pansy Colossus Mix 100/100 Pixie Tag SF</t>
  </si>
  <si>
    <t>TAG Pansy Colossus Neon Violet 100/100 Pixie Tag SF</t>
  </si>
  <si>
    <t>TAG Pansy Colossus Ocean 100/100 Pixie Tag SF</t>
  </si>
  <si>
    <t>TAG Pansy Colossus Purple With Blotch 100/100 Pixie Tag SF</t>
  </si>
  <si>
    <t>TAG Pansy Colossus Red With Blotch 100/100 Pixie Tag SF</t>
  </si>
  <si>
    <t>TAG Pansy Colossus Rose Medley 100/100 Pixie Tag SF</t>
  </si>
  <si>
    <t>TAG Pansy Colossus Rose With Blotch 100/100 Pixie Tag SF</t>
  </si>
  <si>
    <t>TAG Pansy Colossus Series 100/100 Pixie Tag SF</t>
  </si>
  <si>
    <t>TAG Pansy Colossus Tricolor 100/100 Pixie Tag SF</t>
  </si>
  <si>
    <t>TAG Pansy Colossus True Blue 100/100 Pixie Tag</t>
  </si>
  <si>
    <t>TAG Pansy Colossus White 100/100 Pixie Tag SF</t>
  </si>
  <si>
    <t>TAG Pansy Colossus White With Blotch 100/100 Pixie Tag SF</t>
  </si>
  <si>
    <t>TAG Pansy Colossus White With Purple Wing 100/100 Pixie Tag SF</t>
  </si>
  <si>
    <t>TAG Pansy Colossus Yellow 100/100 Pixie Tag SF</t>
  </si>
  <si>
    <t>TAG Pansy Colossus Yellow With Blotch 100/100 Pixie Tag SF</t>
  </si>
  <si>
    <t>TAG Pansy Columbine 25/25 Portrait Tag</t>
  </si>
  <si>
    <t>TAG Pansy Columbine Limited Availability 50/50 Petite Portrait DO FUL</t>
  </si>
  <si>
    <t>TAG Pansy Cool Wave Blue 50/50 Mini Portrait Tag</t>
  </si>
  <si>
    <t>TAG Pansy Cool Wave Blue Skies 50/50 Mini Portrait Tag</t>
  </si>
  <si>
    <t>TAG Pansy Cool Wave Blueberry Swirl 50/50 Mini Portrait Tag</t>
  </si>
  <si>
    <t>TAG Pansy Cool Wave Berries N Cream Mix 50/50 Mini Portrait Tag</t>
  </si>
  <si>
    <t>TAG Pansy Cool Wave Fire 50/50 Mini Portrait Tag</t>
  </si>
  <si>
    <t>TAG Pansy Cool Wave Frost 50/50 Mini Portrait Tag</t>
  </si>
  <si>
    <t>TAG Pansy Cool Wave Golden Yellow 50/50 Mini Portrait Tag</t>
  </si>
  <si>
    <t>TAG Pansy Cool Wave Lemon 50/50 Mini Portrait Tag</t>
  </si>
  <si>
    <t>TAG Pansy Cool Wave Lemon Surprise 50/50 Mini Portrait Tag</t>
  </si>
  <si>
    <t>TAG Pansy Cool Wave Mix 50/50 Mini Portrait Tag</t>
  </si>
  <si>
    <t>TAG Pansy Cool Wave Morpho 50/50 Mini Portrait Tag</t>
  </si>
  <si>
    <t>TAG Pansy Cool Wave Pastel Mix 50/50 Mini Portrait Tag</t>
  </si>
  <si>
    <t>TAG Pansy Cool Wave Purple 50/50 Mini Portrait Tag</t>
  </si>
  <si>
    <t>TAG Pansy Cool Wave Raspberry 50/50 Mini Portrait Tag</t>
  </si>
  <si>
    <t>TAG Pansy Cool Wave Raspberry Swirl 50/50 Mini Portrait Tag</t>
  </si>
  <si>
    <t>TAG Pansy Cool Wave Series 100/100 Hang Tag</t>
  </si>
  <si>
    <t>TAG Pansy Cool Wave Sunshine N Wine 50/50 Mini Portrait Tag</t>
  </si>
  <si>
    <t>TAG Pansy Cool Wave Strawberry Swirl 50/50 Mini Portrait Tag</t>
  </si>
  <si>
    <t>TAG Pansy Cool Wave Violet Wing 50/50 Mini Portrait Tag</t>
  </si>
  <si>
    <t>TAG Pansy Cool Wave White 50/50 Mini Portrait Tag</t>
  </si>
  <si>
    <t>TAG Pansy Cool Wave Yellow 50/50 Mini Portrait Tag</t>
  </si>
  <si>
    <t>TAG Pansy Crown Azure 100/100 Pixie Tag</t>
  </si>
  <si>
    <t>TAG Pansy Crown Blue 100/100 Pixie Tag</t>
  </si>
  <si>
    <t>TAG Pansy Crown Golden 100/100 Pixie Tag</t>
  </si>
  <si>
    <t>TAG Pansy Crown Mix 100/100 Pixie Tag</t>
  </si>
  <si>
    <t>TAG Pansy Crown Orange 100/100 Pixie Tag</t>
  </si>
  <si>
    <t>TAG Pansy Crown Purple 100/100 Pixie Tag</t>
  </si>
  <si>
    <t>TAG Pansy Crown Rose 100/100 Pixie Tag</t>
  </si>
  <si>
    <t>TAG Pansy Crown Scarlet 100/100 Pixie Tag</t>
  </si>
  <si>
    <t>TAG Pansy Crown White 100/100 Pixie Tag</t>
  </si>
  <si>
    <t>TAG Pansy Crown Yellow 100/100 Pixie Tag</t>
  </si>
  <si>
    <t>TAG Pansy Delta Classic Apple Cider Mix 100/100 Pixie Tag SF</t>
  </si>
  <si>
    <t>TAG Pansy Delta Classic Beaconsfield 100/100 Pixie Tag SF</t>
  </si>
  <si>
    <t>TAG Pansy Delta Classic Berry Tart Mix 100/100 Pixie Tag SF</t>
  </si>
  <si>
    <t>TAG Pansy Delta Classic Blaze Mix 100/100 Pixie Tag SF</t>
  </si>
  <si>
    <t>TAG Pansy Delta Classic Blue Morpho 100/100 Pixie Tag SF</t>
  </si>
  <si>
    <t>TAG Pansy Delta Classic Buttered Popcorn Mix 100/100 Pixie Tag SF</t>
  </si>
  <si>
    <t>TAG Pansy Delta Classic Cotton Candy Mix 100/100 Pixie Tag SF</t>
  </si>
  <si>
    <t>TAG Pansy Delta Classic Deep Blue 100/100 Pixie Tag SF</t>
  </si>
  <si>
    <t>TAG Pansy Delta Classic Fire 100/100 Pixie Tag SF</t>
  </si>
  <si>
    <t>TAG Pansy Delta Classic Marina 100/100 Pixie Tag SF</t>
  </si>
  <si>
    <t>TAG Pansy Delta Classic Monet Mix 100/100 Pixie Tag SF</t>
  </si>
  <si>
    <t>TAG Pansy Delta Classic Pink Shades 100/100 Pixie Tag SF</t>
  </si>
  <si>
    <t>TAG Pansy Delta Classic Pure Red 100/100 Pixie Tag SF</t>
  </si>
  <si>
    <t>TAG Pansy Delta Classic Pure Rose 100/100 Pixie Tag SF</t>
  </si>
  <si>
    <t>TAG Pansy Delta Classic Tapestry 100/100 Pixie Tag SF</t>
  </si>
  <si>
    <t>TAG Pansy Delta Classic Watercolors Mix 100/100 Pixie Tag SF</t>
  </si>
  <si>
    <t>TAG Pansy Delta Classic Wine N Cheese Mix 100/100 Pixie Tag SF</t>
  </si>
  <si>
    <t>TAG Pansy Delta Classic Yellow With Purple Wing 100/100 Pixie Tag SF</t>
  </si>
  <si>
    <t>TAG Pansy Delta Fruit Salad Mix 100/100 Pixie Tag SF</t>
  </si>
  <si>
    <t>TAG Pansy Delta Mix 100/100 Pixie Tag SF</t>
  </si>
  <si>
    <t>TAG Pansy Delta Orange With Blotch 100/100 Pixie Tag SF</t>
  </si>
  <si>
    <t>TAG Pansy Delta Premium Blue With Blotch 100/100 Pixie Tag SF</t>
  </si>
  <si>
    <t>TAG Pansy Delta Premium Gold With Blotch 100/100 Pixie Tag SF</t>
  </si>
  <si>
    <t>TAG Pansy Delta Premium Lavender Blue Shades 100/100 Pixie Tag SF</t>
  </si>
  <si>
    <t>TAG Pansy Delta Premium Persian Mdley 100/100 Pixie Tag SF</t>
  </si>
  <si>
    <t>TAG Pansy Delta Premium Pure Golden Yellow 100/100 Pixie Tag SF</t>
  </si>
  <si>
    <t>TAG Pansy Delta Premium Primrose With Blotch 100/100 Pixie Tag SF</t>
  </si>
  <si>
    <t>TAG Pansy Delta Premium Pure Deep Orange 100/100 Pixie Tag SF</t>
  </si>
  <si>
    <t>TAG Pansy Delta Premium Pure Primrose 100/100 Pixie Tag SF</t>
  </si>
  <si>
    <t>TAG Pansy Delta Pro Mix 100/100 Pixie Tag SF</t>
  </si>
  <si>
    <t>TAG Pansy Delta Pro Blotch Mix 100/100 Pixie Tag SF</t>
  </si>
  <si>
    <t>TAG Pansy Delta Pro Citrus Mix 100/100 Pixie Tag SF</t>
  </si>
  <si>
    <t>TAG Pansy Delta Pro Clear Colors Mix 100/100 Pixie Tag SF</t>
  </si>
  <si>
    <t>TAG Pansy Delta Pro Clear Light Blue 100/100 Pixie Tag SF</t>
  </si>
  <si>
    <t>TAG Pansy Delta Pro Clear Orange 100/100 Pixie Tag SF</t>
  </si>
  <si>
    <t>TAG Pansy Delta Pro Clear True Blue 100/100 Pixie Tag SF</t>
  </si>
  <si>
    <t>TAG Pansy Delta Pro Clear Violet 100/100 Pixie Tag SF</t>
  </si>
  <si>
    <t>TAG Pansy Delta Pro Clear White 100/100 Pixie Tag SF</t>
  </si>
  <si>
    <t>TAG Pansy Delta Pro Clear Yellow 100/100 Pixie Tag SF</t>
  </si>
  <si>
    <t>TAG Pansy Delta Pro Cool Waters Mix 100/100 Pixie Tag SF</t>
  </si>
  <si>
    <t>TAG Pansy Delta Pro Deep Blue With Blotch 100/100 Pixie Tag</t>
  </si>
  <si>
    <t>TAG Pansy Delta Pro Lavender Blue Shades 100/100 Pixie Tag SF</t>
  </si>
  <si>
    <t>TAG Pansy Delta Pro Neon Violet 100/100 Pixie Tag SF</t>
  </si>
  <si>
    <t>TAG Pansy Delta Pro Pure Lemon 100/100 Pixie Tag SF</t>
  </si>
  <si>
    <t>TAG Pansy Delta Pro Red With Blotch 100/100 Pixie Tag SF</t>
  </si>
  <si>
    <t>TAG Pansy Delta Pro Rose With Blotch 100/100 Pixie Tag SF</t>
  </si>
  <si>
    <t>TAG Pansy Delta Pro Tricolor Mix 100/100 Pixie Tag SF</t>
  </si>
  <si>
    <t>TAG Pansy Delta Pro Violet And White 100/100 Pixie Tag SF</t>
  </si>
  <si>
    <t>TAG Pansy Delta Pro White With Blotch 100/100 Pixie Tag SF</t>
  </si>
  <si>
    <t>TAG Pansy Delta Pro Yellow With Blotch 100/100 Pixie Tag SF</t>
  </si>
  <si>
    <t>TAG Pansy Delta Pro Yellow With Red Wing 100/100 Pixie Tag SF</t>
  </si>
  <si>
    <t>TAG Pansy Delta Pumpkin Pie Mix 100/100 Pixie Tag SF</t>
  </si>
  <si>
    <t>TAG Pansy Delta Pure Orange 100/100 Pixie Tag SF</t>
  </si>
  <si>
    <t>TAG Pansy Delta Pure Primrose 100/100 Pixie Tag SF</t>
  </si>
  <si>
    <t>TAG Pansy Delta Series 100/100 Pixie Tag SF</t>
  </si>
  <si>
    <t>TAG Pansy Delta Speedy Clear White 100/100 Pixie Tag SF</t>
  </si>
  <si>
    <t>TAG Pansy Delta Speedy Clear Yellow 100/100 Pixie Tag SF</t>
  </si>
  <si>
    <t>TAG Pansy Delta Speedy Deep Blue With Blotch 100/100 Pixie Tag SF</t>
  </si>
  <si>
    <t>TAG Pansy Delta Speedy Frost 100/100 Pixie Tag SF</t>
  </si>
  <si>
    <t>TAG Pansy Delta Speedy Mix 100/100 Pixie Tag SF</t>
  </si>
  <si>
    <t>TAG Pansy Delta Speedy Purple 100/100 Pixie Tag SF</t>
  </si>
  <si>
    <t>TAG Pansy Delta Speedy Rose Medley 100/100 Pixie Tag SF</t>
  </si>
  <si>
    <t>TAG Pansy Delta Speedy True Blue 100/100 Pixie Tag SF</t>
  </si>
  <si>
    <t>TAG Pansy Delta Speedy Violet And White 100/100 Pixie Tag SF</t>
  </si>
  <si>
    <t>TAG Pansy Delta Speedy Yellow With Blotch 100/100 Pixie Tag SF</t>
  </si>
  <si>
    <t>TAG Pansy Delta Speedy Yellow And Purple 100/100 Pixie Tag SF</t>
  </si>
  <si>
    <t>TAG Pansy Delta Violet With Face 100/100 Pixie Tag SF</t>
  </si>
  <si>
    <t>TAG Pansy Deltini Blue 100/100 Pixie Tag</t>
  </si>
  <si>
    <t>TAG Pansy Deltini Blue Purple Wing 100/100 Pixie Tag</t>
  </si>
  <si>
    <t>TAG Pansy Deltini Burgundy 100/100 Pixie Tag</t>
  </si>
  <si>
    <t>TAG Pansy Deltini Copperfield 100/100 Pixie Tag</t>
  </si>
  <si>
    <t>TAG Pansy Deltini Honeybee 100/100 Pixie Tag</t>
  </si>
  <si>
    <t>TAG Pansy Deltini Mix 100/100 Pixie Tag</t>
  </si>
  <si>
    <t>TAG Pansy Deltini Purple With Golden Center 100/100 Pixie Tag</t>
  </si>
  <si>
    <t>TAG Pansy Deltini Rose Pink 100/100 Pixie Tag</t>
  </si>
  <si>
    <t>TAG Pansy Deltini Violet Blue 100/100 Pixie Tag</t>
  </si>
  <si>
    <t>TAG Pansy Deltini Violet Face 100/100 Pixie Tag</t>
  </si>
  <si>
    <t>TAG Pansy Deltini White 100/100 Pixie Tag</t>
  </si>
  <si>
    <t>TAG Pansy Deltini Yellow 100/100 Pixie Tag</t>
  </si>
  <si>
    <t>TAG Pansy Deltini Yellow Jump Up 100/100 Pixie Tag</t>
  </si>
  <si>
    <t>TAG Pansy Deltini Yellow And Purple 100/100 Pixie Tag</t>
  </si>
  <si>
    <t>TAG Pansy DeluXXe Blue Surprise 100/100 Pixie Tag</t>
  </si>
  <si>
    <t>TAG Pansy DeluXXe White With Violet Wing 100/100 Pixie Tag</t>
  </si>
  <si>
    <t>TAG Pansy Endurio Red Flare 100/100 Pixie Tag</t>
  </si>
  <si>
    <t>TAG Pansy Endurio Sky Blue Martien 100/100 Pixie Tag</t>
  </si>
  <si>
    <t>TAG Pansy Endurio Tricolor Mix 100/100 Pixie Tag</t>
  </si>
  <si>
    <t>TAG Pansy Etain 100/100 Pixie Tag DO FUL</t>
  </si>
  <si>
    <t>TAG Pansy Etain 25/25 Portrait Tag</t>
  </si>
  <si>
    <t>TAG Pansy Fizzy Lemonberry 100/100 Pixie Tag</t>
  </si>
  <si>
    <t>TAG Pansy Freefall Series 100/100 Pixie Tag SF</t>
  </si>
  <si>
    <t>TAG Pansy Freefall XL Series 100/100 Pixie Tag SF</t>
  </si>
  <si>
    <t>TAG Pansy Frizzle Sizzle Blue 100/100 Pixie Tag</t>
  </si>
  <si>
    <t>TAG Pansy Frizzle Sizzle Burgundy 100/100 Pixie Tag</t>
  </si>
  <si>
    <t>TAG Pansy Frizzle Sizzle Lemonade 100/100 Pixie Tag</t>
  </si>
  <si>
    <t>TAG Pansy Frizzle Sizzle Lemonberry 100/100 Pixie Tag</t>
  </si>
  <si>
    <t>TAG Pansy Frizzle Sizzle Mini Purple Shades 100/100 Pixie Tag</t>
  </si>
  <si>
    <t>TAG Pansy Frizzle Sizzle Mini Mix 100/100 Pixie Tag</t>
  </si>
  <si>
    <t>TAG Pansy Frizzle Sizzle Mini Yellow 100/100 Pixie Tag</t>
  </si>
  <si>
    <t>TAG Pansy Frizzle Sizzle Mix 100/100 Pixie Tag</t>
  </si>
  <si>
    <t>TAG Pansy Frizzle Sizzle Mini Tapestry 100/100 Pixie Tag</t>
  </si>
  <si>
    <t>TAG Pansy Frizzle Sizzle Orange 100/100 Pixie Tag</t>
  </si>
  <si>
    <t>TAG Pansy Frizzle Sizzle Raspberry 100/100 Pixie Tag</t>
  </si>
  <si>
    <t>TAG Pansy Frizzle Sizzle Yellow 100/100 Pixie Tag</t>
  </si>
  <si>
    <t>TAG Pansy Frizzle Sizzle Yellow With Blue Swirl 100/100 Pixie Tag</t>
  </si>
  <si>
    <t>TAG Pansy Pansy GENERIC 25/25 Portrait Tag</t>
  </si>
  <si>
    <t>TAG Pansy Grandio Beacon Blue 100/100 Pixie Tag</t>
  </si>
  <si>
    <t>TAG Pansy Grandio Beacon Rose 100/100 Pixie Tag</t>
  </si>
  <si>
    <t>TAG Pansy Grandio Blue With Blotch 100/100 Pixie Tag</t>
  </si>
  <si>
    <t>TAG Pansy Grandio Blotched Colors Mix 100/100 Pixie Tag</t>
  </si>
  <si>
    <t>TAG Pansy Grandio Bright Colors Mix 100/100 Pixie Tag</t>
  </si>
  <si>
    <t>TAG Pansy Grandio Citrus Mix 100/100 Pixie Tag</t>
  </si>
  <si>
    <t>TAG Pansy Grandio Clear Colors Mix 100/100 Pixie Tag</t>
  </si>
  <si>
    <t>TAG Pansy Grandio Clear Orange 100/100 Pixie Tag</t>
  </si>
  <si>
    <t>TAG Pansy Grandio Clear Scarlet 100/100 Pixie Tag</t>
  </si>
  <si>
    <t>TAG Pansy Grandio Deep Blue With Blotch 100/100 Pixie Tag</t>
  </si>
  <si>
    <t>TAG Pansy Grandio Primrose 100/100 Pixie Tag</t>
  </si>
  <si>
    <t>TAG Pansy Grandio Purple 100/100 Pixie Tag</t>
  </si>
  <si>
    <t>TAG Pansy Grandio Red With Blotch 100/100 Pixie Tag</t>
  </si>
  <si>
    <t>TAG Pansy Grandio Rose 100/100 Pixie Tag</t>
  </si>
  <si>
    <t>TAG Pansy Grandio Rose With Blotch 100/100 Pixie Tag</t>
  </si>
  <si>
    <t>TAG Pansy Grandio Silver Blue 100/100 Pixie Tag</t>
  </si>
  <si>
    <t>TAG Pansy Grandio Star Spangled Mix 100/100 Pixie Tag</t>
  </si>
  <si>
    <t>TAG Pansy Grandio True Blue 100/100 Pixie Tag</t>
  </si>
  <si>
    <t>TAG Pansy Grandio White 100/100 Pixie Tag</t>
  </si>
  <si>
    <t>TAG Pansy Grandio White With Blotch 100/100 Pixie Tag</t>
  </si>
  <si>
    <t>TAG Pansy Grandio White With Rose Blotch 100/100 Pixie Tag</t>
  </si>
  <si>
    <t>TAG Pansy Grandio Yellow 100/100 Pixie Tag</t>
  </si>
  <si>
    <t>TAG Pansy Grandio Yellow With Blotch 100/100 Pixie Tag</t>
  </si>
  <si>
    <t>TAG Pansy Halloween II 100/100 Pixie Tag</t>
  </si>
  <si>
    <t>TAG Pansy Halo Golden Yellow 25/25 Portrait Tag</t>
  </si>
  <si>
    <t>TAG Pansy Halo Lemon Frost 25/25 Portrait Tag</t>
  </si>
  <si>
    <t>TAG Pansy Halo Lilac 25/25 Portrait Tag</t>
  </si>
  <si>
    <t>TAG Pansy Halo Sky Blue 25/25 Portrait Tag</t>
  </si>
  <si>
    <t>TAG Pansy Halo Violet 25/25 Portrait Tag</t>
  </si>
  <si>
    <t>TAG Pansy Hederacea 100/100 Pixie Tag</t>
  </si>
  <si>
    <t>TAG Pansy Helen Mount 100/100 Pixie Tag</t>
  </si>
  <si>
    <t>TAG Pansy Imperial Antique Shades 100/100 Pixie Tag</t>
  </si>
  <si>
    <t>TAG Pansy Inspire DeluXXe Denim 100/100 Pixie Tag</t>
  </si>
  <si>
    <t>TAG Pansy Inspire DeluXXe Mix 100/100 Pixie Tag</t>
  </si>
  <si>
    <t>TAG Pansy Inspire DeluXXe Ocean 100/100 Pixie Tag</t>
  </si>
  <si>
    <t>TAG Pansy Inspire DeluXXe Orange 100/100 Pixie Tag</t>
  </si>
  <si>
    <t>TAG Pansy Inspire DeluXXe White 100/100 Pixie Tag</t>
  </si>
  <si>
    <t>TAG Pansy Inspire DeluXXe White Blotch 100/100 Pixie Tag</t>
  </si>
  <si>
    <t>TAG Pansy Inspire DeluXXe Yellow 100/100 Pixie Tag</t>
  </si>
  <si>
    <t>TAG Pansy Inspire DeluXXe Yellow Blotch 100/100 Pixie Tag</t>
  </si>
  <si>
    <t>TAG Pansy Inspire Deep Blue Blotch 100/100 Pixie Tag</t>
  </si>
  <si>
    <t>TAG Pansy Inspire Light Rose Blotch 100/100 Pixie Tag</t>
  </si>
  <si>
    <t>TAG Pansy Inspire Plus Light Blue 100/100 Pixie Tag</t>
  </si>
  <si>
    <t>TAG Pansy Inspire Plus Lemon Blotch 100/100 Pixie Tag</t>
  </si>
  <si>
    <t>TAG Pansy Inspire Plus Marina 100/100 Pixie Tag</t>
  </si>
  <si>
    <t>TAG Pansy Inspire Plus Orange 100/100 Pixie Tag</t>
  </si>
  <si>
    <t>TAG Pansy Inspire Plus Orange Blotch 100/100 Pixie Tag</t>
  </si>
  <si>
    <t>TAG Pansy Inspire Series 100/100 Pixie Tag</t>
  </si>
  <si>
    <t>TAG Pansy Johnny Jump Up GENERIC 100/100 Pixie Tag</t>
  </si>
  <si>
    <t>TAG Pansy Jolly Joker 100/100 Pixie Tag</t>
  </si>
  <si>
    <t>TAG Pansy Lavender Shades GENERIC 100/100 Pixie Tag</t>
  </si>
  <si>
    <t>TAG Pansy Magnifi Scent Sunny Jim Limited Availability 100/100 Pixie Tag DO FUL</t>
  </si>
  <si>
    <t>TAG Pansy Magnifi Scent Sweetheart 100/100 Pixie Tag DO FUL</t>
  </si>
  <si>
    <t>TAG Pansy Majestic Giants II Autumn Mix 100/100 Pixie Tag</t>
  </si>
  <si>
    <t>TAG Pansy Majestic Giants II Blue Jeans 100/100 Pixie Tag</t>
  </si>
  <si>
    <t>TAG Pansy Majestic Giants II Blue And White 100/100 Pixie Tag</t>
  </si>
  <si>
    <t>TAG Pansy Majestic Giants II Blotch Mix 100/100 Pixie Tag</t>
  </si>
  <si>
    <t>TAG Pansy Majestic Giants II Clear Mix 100/100 Pixie Tag</t>
  </si>
  <si>
    <t>TAG Pansy Majestic Giants II Clear Purple 100/100 Pixie Tag</t>
  </si>
  <si>
    <t>TAG Pansy Majestic Giants II Clear White 100/100 Pixie Tag</t>
  </si>
  <si>
    <t>TAG Pansy Majestic Giants II Clear Yellow 100/100 Pixie Tag</t>
  </si>
  <si>
    <t>TAG Pansy Majestic Giants II Deep Blue With Blotch 100/100 Pixie Tag</t>
  </si>
  <si>
    <t>TAG Pansy Majestic Giants II Fire 100/100 Pixie Tag</t>
  </si>
  <si>
    <t>TAG Pansy Majestic Giants II Girlfriend's Mix 100/100 Pixie Tag</t>
  </si>
  <si>
    <t>TAG Pansy Majestic Giants II Marina 100/100 Pixie Tag</t>
  </si>
  <si>
    <t>TAG Pansy Majestic Giants II Mid Blue With Blotch 100/100 Pixie Tag</t>
  </si>
  <si>
    <t>TAG Pansy Majestic Giants Mix 100/100 Pixie Tag</t>
  </si>
  <si>
    <t>TAG Pansy Majestic Giants Purple 100/100 Pixie Tag</t>
  </si>
  <si>
    <t>TAG Pansy Majestic Giants II Purple With Blotch 100/100 Pixie Tag</t>
  </si>
  <si>
    <t>TAG Pansy Majestic Giants II Red With Blotch 100/100 Pixie Tag</t>
  </si>
  <si>
    <t>TAG Pansy Majestic Giants II Rosalyn 100/100 Pixie Tag</t>
  </si>
  <si>
    <t>TAG Pansy Majestic Giants II Rose With Blotch 100/100 Pixie Tag</t>
  </si>
  <si>
    <t>TAG Pansy Majestic Giants II Sea Breeze 100/100 Pixie Tag</t>
  </si>
  <si>
    <t>TAG Pansy Majestic Giants II Series 100/100 Pixie Tag</t>
  </si>
  <si>
    <t>TAG Pansy Majestic Giants II Sherry 100/100 Pixie Tag</t>
  </si>
  <si>
    <t>TAG Pansy Majestic Giants White With Blotch 100/100 Pixie Tag</t>
  </si>
  <si>
    <t>TAG Pansy Majestic Giants II Yellow With Blotch 100/100 Pixie Tag</t>
  </si>
  <si>
    <t>TAG Pansy Mammoth Big Red 100/100 Pixie Tag SF</t>
  </si>
  <si>
    <t>TAG Pansy Mammoth Blue-Ti-Ful 100/100 Pixie Tag SF</t>
  </si>
  <si>
    <t>TAG Pansy Mammoth Deep Blue Dazzle 100/100 Pixie Tag SF</t>
  </si>
  <si>
    <t>TAG Pansy Mammoth Glamorama White 100/100 Pixie Tag SF</t>
  </si>
  <si>
    <t>TAG Pansy Mammoth Masquerade Mix 100/100 Pixie Tag SF</t>
  </si>
  <si>
    <t>TAG Pansy Mammoth On Fire 100/100 Pixie Tag SF</t>
  </si>
  <si>
    <t>TAG Pansy Mammoth Pink Berry 100/100 Pixie Tag SF</t>
  </si>
  <si>
    <t>TAG Pansy Mammoth Prima Yellorina 100/100 Pixie Tag SF</t>
  </si>
  <si>
    <t>TAG Pansy Mammoth Queen Yellow Bee 100/100 Pixie Tag SF</t>
  </si>
  <si>
    <t>TAG Pansy Mammoth Rocky Rose 100/100 Pixie Tag SF</t>
  </si>
  <si>
    <t>TAG Pansy Mammoth Sangria Punch 100/100 Pixie Tag SF</t>
  </si>
  <si>
    <t>TAG Pansy Mammoth Series 100/100 Pixie Tag SF</t>
  </si>
  <si>
    <t>TAG Pansy Mammoth Viva La Violet 100/100 Pixie Tag SF</t>
  </si>
  <si>
    <t>TAG Pansy Mammoth White Hot 100/100 Pixie Tag SF</t>
  </si>
  <si>
    <t>TAG Pansy Matrix Amber Mix 100/100 Pixie Tag</t>
  </si>
  <si>
    <t>TAG Pansy Matrix Amethyst Mix 100/100 Pixie Tag</t>
  </si>
  <si>
    <t>TAG Pansy Matrix Autumn Blaze Mix 100/100 Pixie Tag</t>
  </si>
  <si>
    <t>TAG Pansy Matrix Beaconsfield 100/100 Pixie Tag</t>
  </si>
  <si>
    <t>TAG Pansy Matrix Blotch Mix 100/100 Pixie Tag</t>
  </si>
  <si>
    <t>TAG Pansy Matrix Blue 100/100 Pixie Tag</t>
  </si>
  <si>
    <t>TAG Pansy Matrix Blue Wing 100/100 Pixie Tag</t>
  </si>
  <si>
    <t>TAG Pansy Matrix Blue With Blotch 100/100 Pixie Tag</t>
  </si>
  <si>
    <t>TAG Pansy Matrix Citrus Mix 100/100 Pixie Tag</t>
  </si>
  <si>
    <t>TAG Pansy Matrix Clear Mix 100/100 Pixie Tag</t>
  </si>
  <si>
    <t>TAG Pansy Matrix Coastal Sunrise Mix 100/100 Pixie Tag</t>
  </si>
  <si>
    <t>TAG Pansy Matrix Daffodil Mix 100/100 Pixie Tag</t>
  </si>
  <si>
    <t>TAG Pansy Matrix Deep Blue Blotch 100/100 Pixie Tag</t>
  </si>
  <si>
    <t>TAG Pansy Matrix Deep Orange 100/100 Pixie Tag</t>
  </si>
  <si>
    <t>TAG Pansy Matrix Denim 100/100 Pixie Tag</t>
  </si>
  <si>
    <t>TAG Pansy Matrix Halloween Mix 100/100 Pixie Tag</t>
  </si>
  <si>
    <t>TAG Pansy Matrix Harvest Mix 100/100 Pixie Tag</t>
  </si>
  <si>
    <t>TAG Pansy Matrix Jewels Mix 100/100 Pixie Tag</t>
  </si>
  <si>
    <t>TAG Pansy Matrix Lavender Shades 100/100 Pixie Tag</t>
  </si>
  <si>
    <t>TAG Pansy Matrix Lemon 100/100 Pixie Tag</t>
  </si>
  <si>
    <t>TAG Pansy Matrix Light Blue 100/100 Pixie Tag</t>
  </si>
  <si>
    <t>TAG Pansy Matrix Midnight Glow 100/100 Pixie Tag</t>
  </si>
  <si>
    <t>TAG Pansy Matrix Mix 100/100 Pixie Tag</t>
  </si>
  <si>
    <t>TAG Pansy Matrix Morpheus 100/100 Pixie Tag</t>
  </si>
  <si>
    <t>TAG Pansy Matrix Ocean 100/100 Pixie Tag</t>
  </si>
  <si>
    <t>TAG Pansy Matrix Ocean Breeze Mix 100/100 Pixie Tag</t>
  </si>
  <si>
    <t>TAG Pansy Matrix Orange 100/100 Pixie Tag</t>
  </si>
  <si>
    <t>TAG Pansy Matrix Pastel Mix 100/100 Pixie Tag</t>
  </si>
  <si>
    <t>TAG Pansy Matrix Pink Shades 100/100 Pixie Tag</t>
  </si>
  <si>
    <t>TAG Pansy Matrix Primrose 100/100 Pixie Tag</t>
  </si>
  <si>
    <t>TAG Pansy Matrix Purple 100/100 Pixie Tag</t>
  </si>
  <si>
    <t>TAG Pansy Matrix Purple And White 100/100 Pixie Tag</t>
  </si>
  <si>
    <t>TAG Pansy Matrix Purple Blotch 100/100 Pixie Tag</t>
  </si>
  <si>
    <t>TAG Pansy Matrix Raspberry Sundae Mix 100/100 Pixie Tag</t>
  </si>
  <si>
    <t>TAG Pansy Matrix Red Wing 100/100 Pixie Tag</t>
  </si>
  <si>
    <t>TAG Pansy Matrix Red With Blotch 100/100 Pixie Tag</t>
  </si>
  <si>
    <t>TAG Pansy Matrix Rose 100/100 Pixie Tag</t>
  </si>
  <si>
    <t>TAG Pansy Matrix Rose Wing 100/100 Pixie Tag</t>
  </si>
  <si>
    <t>TAG Pansy Matrix Rose With Blotch 100/100 Pixie Tag</t>
  </si>
  <si>
    <t>TAG Pansy Matrix Ruby Mix 100/100 Pixie Tag</t>
  </si>
  <si>
    <t>TAG Pansy Matrix Sangria 100/100 Pixie Tag</t>
  </si>
  <si>
    <t>TAG Pansy Matrix Scarlet 100/100 Pixie Tag</t>
  </si>
  <si>
    <t>TAG Pansy Matrix Series 100/100 Pixie Tag</t>
  </si>
  <si>
    <t>TAG Pansy Matrix Solar Flare 100/100 Pixie Tag</t>
  </si>
  <si>
    <t>TAG Pansy Matrix Sunrise 100/100 Pixie Tag</t>
  </si>
  <si>
    <t>TAG Pansy Matrix Tanzanite Mix 100/100 Pixie Tag</t>
  </si>
  <si>
    <t>TAG Pansy Matrix Topaz N Garnet Mix 100/100 Pixie Tag</t>
  </si>
  <si>
    <t>TAG Pansy Matrix Tricolor Mix 100/100 Pixie Tag</t>
  </si>
  <si>
    <t>TAG Pansy Matrix True Blue 100/100 Pixie Tag</t>
  </si>
  <si>
    <t>TAG Pansy Matrix White 100/100 Pixie Tag</t>
  </si>
  <si>
    <t>TAG Pansy Matrix White With Blotch 100/100 Pixie Tag</t>
  </si>
  <si>
    <t>TAG Pansy Matrix Yellow 100/100 Pixie Tag</t>
  </si>
  <si>
    <t>TAG Pansy Matrix Yellow Purple Wing 100/100 Pixie Tag</t>
  </si>
  <si>
    <t>TAG Pansy Matrix Yellow With Blotch 100/100 Pixie Tag</t>
  </si>
  <si>
    <t>TAG Pansy Orange Bilingual GENERIC 100/100 Pixie Tag</t>
  </si>
  <si>
    <t>TAG Pansy Panola XP Autumn Blaze Mix 100/100 Pixie Tag</t>
  </si>
  <si>
    <t>TAG Pansy Panola XP Baby Boy Mix 100/100 Pixie Tag</t>
  </si>
  <si>
    <t>TAG Pansy Panola XP Beaconsfield 100/100 Pixie Tag</t>
  </si>
  <si>
    <t>TAG Pansy Panola XP Blackberry Sundae Mix 100/100 Pixie Tag</t>
  </si>
  <si>
    <t>TAG Pansy Panola XP Blotch Mix 100/100 Pixie Tag</t>
  </si>
  <si>
    <t>TAG Pansy Panola XP Citrus Mix 100/100 Pixie Tag</t>
  </si>
  <si>
    <t>TAG Pansy Panola XP Clear Mix 100/100 Pixie Tag</t>
  </si>
  <si>
    <t>TAG Pansy Panola XP Deep Orange 100/100 Pixie Tag</t>
  </si>
  <si>
    <t>TAG Pansy Panola XP Deep Blue With Blotch 100/100 Pixie Tag</t>
  </si>
  <si>
    <t>TAG Pansy Panola XP Fire 100/100 Pixie Tag</t>
  </si>
  <si>
    <t>TAG Pansy Panola XP Halloween Mix 100/100 Pixie Tag</t>
  </si>
  <si>
    <t>TAG Pansy Panola XP Jewels N Jazz Mix 100/100 Pixie Tag</t>
  </si>
  <si>
    <t>TAG Pansy Panola Lilac Shades 100/100 Pixie Tag</t>
  </si>
  <si>
    <t>TAG Pansy Panola XP Marina 100/100 Pixie Tag</t>
  </si>
  <si>
    <t>TAG Pansy Panola XP Mix 100/100 Pixie Tag</t>
  </si>
  <si>
    <t>TAG Pansy Panola Primrose 100/100 Pixie Tag</t>
  </si>
  <si>
    <t>TAG Pansy Panola XP Purple Face 100/100 Pixie Tag</t>
  </si>
  <si>
    <t>TAG Pansy Panola XP Purple 100/100 Pixie Tag</t>
  </si>
  <si>
    <t>TAG Pansy Panola XP Rose Picotee 100/100 Pixie Tag</t>
  </si>
  <si>
    <t>TAG Pansy Panola XP Scarlet 100/100 Pixie Tag</t>
  </si>
  <si>
    <t>TAG Pansy Panola XP True Blue 100/100 Pixie Tag</t>
  </si>
  <si>
    <t>TAG Pansy Panola XP White Blotch 100/100 Pixie Tag</t>
  </si>
  <si>
    <t>TAG Pansy Panola XP White 100/100 Pixie Tag</t>
  </si>
  <si>
    <t>TAG Pansy Panola XP Yellow Blotch 100/100 Pixie Tag</t>
  </si>
  <si>
    <t>TAG Pansy Panola XP Yellow 100/100 Pixie Tag</t>
  </si>
  <si>
    <t>TAG Pansy Panola Yellow And Purple 100/100 Pixie Tag</t>
  </si>
  <si>
    <t>TAG Pansy Pansy GENERIC 100/100 Hang Tag</t>
  </si>
  <si>
    <t>TAG Pansy Pansy Bilingual GENERIC 100/100 Pixie Tag</t>
  </si>
  <si>
    <t>TAG Pansy Penny All Season Mix 100/100 Pixie Tag</t>
  </si>
  <si>
    <t>TAG Pansy Penny Azure Dawn 100/100 Pixie Tag</t>
  </si>
  <si>
    <t>TAG Pansy Penny Beaconsfield 100/100 Pixie Tag</t>
  </si>
  <si>
    <t>TAG Pansy Penny Black 100/100 Pixie Tag</t>
  </si>
  <si>
    <t>TAG Pansy Penny Blue 100/100 Pixie Tag</t>
  </si>
  <si>
    <t>TAG Pansy Penny Citrus Mix 100/100 Pixie Tag</t>
  </si>
  <si>
    <t>TAG Pansy Penny Clear Yellow 100/100 Pixie Tag</t>
  </si>
  <si>
    <t>TAG Pansy Penny Deep Blue 100/100 Pixie Tag</t>
  </si>
  <si>
    <t>TAG Pansy Penny Deep Marina 100/100 Pixie Tag</t>
  </si>
  <si>
    <t>TAG Pansy Penny Jump Up Denim 100/100 Pixie Tag</t>
  </si>
  <si>
    <t>TAG Pansy Penny Jump Up Mix 100/100 Pixie Tag</t>
  </si>
  <si>
    <t>TAG Pansy Penny Jump Up Orange 100/100 Pixie Tag</t>
  </si>
  <si>
    <t>TAG Pansy Penny Jump Up Peach 100/100 Pixie Tag</t>
  </si>
  <si>
    <t>TAG Pansy Penny Jump Up White 100/100 Pixie Tag</t>
  </si>
  <si>
    <t>TAG Pansy Penny Jump Up Yellow 100/100 Pixie Tag</t>
  </si>
  <si>
    <t>TAG Pansy Penny Lane Mix 100/100 Pixie Tag</t>
  </si>
  <si>
    <t>TAG Pansy Penny Marina 100/100 Pixie Tag</t>
  </si>
  <si>
    <t>TAG Pansy Penny Marlies 100/100 Pixie Tag</t>
  </si>
  <si>
    <t>TAG Pansy Penny Mickey 100/100 Pixie Tag</t>
  </si>
  <si>
    <t>TAG Pansy Penny Orange 100/100 Pixie Tag</t>
  </si>
  <si>
    <t>TAG Pansy Penny Orchid 100/100 Pixie Tag</t>
  </si>
  <si>
    <t>TAG Pansy Penny Primrose Bicolor 100/100 Pixie Tag</t>
  </si>
  <si>
    <t>TAG Pansy Penny Primrose Picotee 100/100 Pixie Tag</t>
  </si>
  <si>
    <t>TAG Pansy Penny Purple Marina 100/100 Pixie Tag</t>
  </si>
  <si>
    <t>TAG Pansy Penny Purple Picotee 100/100 Pixie Tag</t>
  </si>
  <si>
    <t>TAG Pansy Penny Red Blotch 100/100 Pixie Tag</t>
  </si>
  <si>
    <t>TAG Pansy Penny Red Wing 100/100 Pixie Tag</t>
  </si>
  <si>
    <t>TAG Pansy Penny Rose Blotch 100/100 Pixie Tag</t>
  </si>
  <si>
    <t>TAG Pansy Penny Series 100/100 Pixie Tag</t>
  </si>
  <si>
    <t>TAG Pansy Penny Violet 100/100 Pixie Tag</t>
  </si>
  <si>
    <t>TAG Pansy Penny Violet Face 100/100 Pixie Tag</t>
  </si>
  <si>
    <t>TAG Pansy Penny Violet Tiger Face 100/100 Pixie Tag</t>
  </si>
  <si>
    <t>TAG Pansy Penny White 100/100 Pixie Tag</t>
  </si>
  <si>
    <t>TAG Pansy Penny White Blotch 100/100 Pixie Tag</t>
  </si>
  <si>
    <t>TAG Pansy Penny Winter Mix 100/100 Pixie Tag</t>
  </si>
  <si>
    <t>TAG Pansy Penny Yellow 100/100 Pixie Tag</t>
  </si>
  <si>
    <t>TAG Pansy Penny Yellow Blotch 100/100 Pixie Tag</t>
  </si>
  <si>
    <t>TAG Pansy Purple Bilingual GENERIC 100/100 Pixie Tag</t>
  </si>
  <si>
    <t>TAG Pansy Purple And Blue Shades 100/100 Pixie Tag</t>
  </si>
  <si>
    <t>TAG Pansy Purple With Blotch Bilingual GENERIC 100/100 Pixie Tag</t>
  </si>
  <si>
    <t>TAG Pansy Quicktime Blue 100/100 Pixie Tag</t>
  </si>
  <si>
    <t>TAG Pansy Quicktime Blue Purple Jump Up 100/100 Pixie Tag</t>
  </si>
  <si>
    <t>TAG Pansy Quicktime Lemon Jump Up 100/100 Pixie Tag</t>
  </si>
  <si>
    <t>TAG Pansy Quicktime Mickey 100/100 Pixie Tag</t>
  </si>
  <si>
    <t>TAG Pansy Quicktime White Blotch 100/100 Pixie Tag</t>
  </si>
  <si>
    <t>TAG Pansy Quicktime Yellow Blue Jump Up 100/100 Pixie Tag</t>
  </si>
  <si>
    <t>TAG Pansy Quicktime Yellow Blotch 100/100 Pixie Tag</t>
  </si>
  <si>
    <t>TAG Pansy Quicktime Yellow Violet Jump Up 100/100 Pixie Tag</t>
  </si>
  <si>
    <t>TAG Pansy Red Bilingual GENERIC 100/100 Pixie Tag</t>
  </si>
  <si>
    <t>TAG Pansy Red With Blotch Bilingual GENERIC 100/100 Pixie Tag</t>
  </si>
  <si>
    <t>TAG Pansy Rebecca 25/25 Portrait Tag</t>
  </si>
  <si>
    <t>TAG Pansy Rose GENERIC 100/100 Pixie Tag</t>
  </si>
  <si>
    <t>TAG Pansy Rose Pink Shades GENERIC 100/100 Pixie Tag</t>
  </si>
  <si>
    <t>TAG Pansy Select Orange With Blotch 100/100 Pixie Tag</t>
  </si>
  <si>
    <t>TAG Papaver Allegro 100/100 Pixie Tag</t>
  </si>
  <si>
    <t>TAG Papaver Allegro 25/25 Portrait Tag</t>
  </si>
  <si>
    <t>TAG Papaver Beauty Of Livermere 25/25 Portrait Tag</t>
  </si>
  <si>
    <t>TAG Papaver Brilliant 25/25 Portrait Tag</t>
  </si>
  <si>
    <t>TAG Papaver Champagne Bubbles Mix 100/100 Pixie Tag</t>
  </si>
  <si>
    <t>TAG Papaver Champagne Bubbles Mix 25/25 Portrait Tag</t>
  </si>
  <si>
    <t>TAG Papaver Garden Gnome 25/25 Portrait Tag</t>
  </si>
  <si>
    <t>TAG Papaver Iceland GENERIC 100/100 Pixie Tag</t>
  </si>
  <si>
    <t>TAG Papaver Mix 100/100 Pixie Tag</t>
  </si>
  <si>
    <t>TAG Papaver Oriental Poppy GENERIC 25/25 Portrait Tag</t>
  </si>
  <si>
    <t>TAG Papaver Pizzicato 25/25 Portrait Tag</t>
  </si>
  <si>
    <t>TAG Papaver Prince Of Orange 25/25 Portrait Tag</t>
  </si>
  <si>
    <t>TAG Papaver Princess Victoria Louise 25/25 Portrait Tag</t>
  </si>
  <si>
    <t>TAG Papaver Red 100/100 Pixie Tag</t>
  </si>
  <si>
    <t>TAG Papaver Royal Wedding 25/25 Portrait Tag</t>
  </si>
  <si>
    <t>TAG Papaver Spring Fever Orange 25/25 Portrait Tag SF</t>
  </si>
  <si>
    <t>TAG Papaver Spring Fever Red 25/25 Portrait Tag SF</t>
  </si>
  <si>
    <t>TAG Papaver Spring Fever Series 100/100 Pixie Tag SF</t>
  </si>
  <si>
    <t>TAG Papaver Spring Fever Series 25/25 Portrait Tag SF</t>
  </si>
  <si>
    <t>TAG Papaver Spring Fever Yellow 25/25 Portrait Tag SF</t>
  </si>
  <si>
    <t>TAG Papaver Wonderland Mix 100/100 Pixie Tag</t>
  </si>
  <si>
    <t>TAG Papaver Wonderland Series 25/25 Portrait Tag</t>
  </si>
  <si>
    <t>TAG Pardancanda Candy Lily GENERIC 25/25 Portrait Tag</t>
  </si>
  <si>
    <t>TAG Parsley Banquet 100/100 Pixie Tag</t>
  </si>
  <si>
    <t>TAG Parsley Curled 100/100 Pixie Tag</t>
  </si>
  <si>
    <t>TAG Parsley Curled 200/200 Thriftee Tag</t>
  </si>
  <si>
    <t>TAG Parsley Curled 25/25 Portrait Tag</t>
  </si>
  <si>
    <t>TAG Parsley Curled Fine 100/100 Pixie Tag</t>
  </si>
  <si>
    <t>TAG Parsley Extra Triple Curled 100/100 Pixie Tag</t>
  </si>
  <si>
    <t>TAG Parsley Extra Triple Curled 25/25 Portrait Tag</t>
  </si>
  <si>
    <t>TAG Parsley Forest Green 100/100 Pixie Tag</t>
  </si>
  <si>
    <t>TAG Parsley Hamburg 100/100 Pixie Tag</t>
  </si>
  <si>
    <t>TAG Parsley Italian 100/100 Pixie Tag</t>
  </si>
  <si>
    <t>TAG Parsley Italian 200/200 Thriftee Tag</t>
  </si>
  <si>
    <t>TAG Parsley Moss Curled Double 100/100 Pixie Tag</t>
  </si>
  <si>
    <t>TAG Parsley Moss Triple Curled 100/100 Pixie Tag</t>
  </si>
  <si>
    <t>TAG Parsley Plain 100/100 Pixie Tag</t>
  </si>
  <si>
    <t>TAG Parsley Plain 200/200 Thriftee Tag</t>
  </si>
  <si>
    <t>TAG Parsley Plain Italian 25/25 Portrait Tag</t>
  </si>
  <si>
    <t>TAG Parsley Vaughan's XXX 100/100 Pixie Tag</t>
  </si>
  <si>
    <t>TAG Passiflora Passion Vine 25/25 Portrait Tag</t>
  </si>
  <si>
    <t>TAG Pavonia Lasiopetala 25/25 Portrait Tag</t>
  </si>
  <si>
    <t>TAG Peanut GENERIC 100/100 Pixie Tag</t>
  </si>
  <si>
    <t>TAG Peas Sugar Dwarf Grey 100/100 Pixie Tag</t>
  </si>
  <si>
    <t>TAG Peas GENERIC 100/100 Pixie Tag</t>
  </si>
  <si>
    <t>TAG Peas Little Snowpea White 100/100 Pixie Tag</t>
  </si>
  <si>
    <t>TAG Peas Patio Pride 100/100 Pixie Tag</t>
  </si>
  <si>
    <t>TAG Peas Snak Hero 100/100 Pixie Tag SF</t>
  </si>
  <si>
    <t>TAG Peas Sugar Or Snow GENERIC 100/100 Pixie Tag</t>
  </si>
  <si>
    <t>TAG Peas Sugar Snap 100/100 Pixie Tag</t>
  </si>
  <si>
    <t>TAG Peas Sugar Sprint 100/100 Pixie Tag SF</t>
  </si>
  <si>
    <t>TAG Peas Super Sugar Snap 100/100 Pixie Tag SF</t>
  </si>
  <si>
    <t>TAG Geranium Citronella 25/25 Portrait Tag</t>
  </si>
  <si>
    <t>TAG Pennisetum Alopecuroides 25/25 Portrait Tag</t>
  </si>
  <si>
    <t>TAG Pennisetum Cherry Sparkler 25/25 Portrait Tag</t>
  </si>
  <si>
    <t>TAG Pennisetum Copper Prince 100/100 Pixie Tag</t>
  </si>
  <si>
    <t>TAG Pennisetum Feathertop Fountain 100/100 Pixie Tag</t>
  </si>
  <si>
    <t>TAG Pennisetum Fireworks 25/25 Portrait Tag</t>
  </si>
  <si>
    <t>TAG Pennisetum Fountain 100/100 Pixie Tag</t>
  </si>
  <si>
    <t>TAG Pennisetum Fountain Bilingual 100/100 Pixie Tag</t>
  </si>
  <si>
    <t>TAG Pennisetum Fuzzy 25/25 Portrait Tag</t>
  </si>
  <si>
    <t>TAG Pennisetum Hameln 25/25 Portrait Tag</t>
  </si>
  <si>
    <t>TAG Pennisetum Jade Princess 100/100 Pixie Tag</t>
  </si>
  <si>
    <t>TAG Pennisetum Jester Millet 100/100 Pixie Tag</t>
  </si>
  <si>
    <t>TAG Pennisetum Jester Millet 25/25 Portrait Tag</t>
  </si>
  <si>
    <t>TAG Pennisetum Little Bunny 25/25 Portrait Tag</t>
  </si>
  <si>
    <t>TAG Pennisetum Purple Baron 100/100 Pixie Tag</t>
  </si>
  <si>
    <t>TAG Pennisetum Purple Baron 25/25 Portrait Tag</t>
  </si>
  <si>
    <t>TAG Pennisetum Purple Majesty 100/100 Pixie Tag</t>
  </si>
  <si>
    <t>TAG Pennisetum Purple Majesty 25/25 Portrait Tag</t>
  </si>
  <si>
    <t>TAG Pennisetum Rubrum 25/25 Portrait Tag</t>
  </si>
  <si>
    <t>TAG Pennisetum Rubrum Fountain 25/25 Portrait Tag</t>
  </si>
  <si>
    <t>TAG Pennisetum Sky Rocket 25/25 Portrait Tag</t>
  </si>
  <si>
    <t>TAG Pennisetum Water To Wine 25/25 Portrait Tag</t>
  </si>
  <si>
    <t>TAG Penstemon Arabesque Series 100/100 Pixie Tag SF</t>
  </si>
  <si>
    <t>TAG Penstemon Beardtongue GENERIC 25/25 Portrait Tag</t>
  </si>
  <si>
    <t>TAG Penstemon Carillo Purple X Mexicale 25/25 Portrait Tag</t>
  </si>
  <si>
    <t>TAG Penstemon Carillo Red X Mexicale 25/25 Portrait Tag</t>
  </si>
  <si>
    <t>TAG Penstemon Cha Cha Series 25/25 Portrait Tag</t>
  </si>
  <si>
    <t>TAG Penstemon Cherry Sparks 25/25 Portrait Tag</t>
  </si>
  <si>
    <t>TAG Penstemon Dakota Burgundy Digitalis 25/25 Portrait Tag</t>
  </si>
  <si>
    <t>TAG Penstemon Dakota Burgundy 50/50 Petite Portrait DO FUL</t>
  </si>
  <si>
    <t>TAG Penstemon Dakota Verde 50/50 Petite Portrait DO FUL</t>
  </si>
  <si>
    <t>TAG Penstemon Dark Towers 25/25 Portrait Tag</t>
  </si>
  <si>
    <t>TAG Penstemon Electric Blue 25/25 Portrait Tag</t>
  </si>
  <si>
    <t>TAG Penstemon Flock Of Flamingos 25/25 Portrait Tag</t>
  </si>
  <si>
    <t>TAG Penstemon GENERIC Barbatus 25/25 Portrait Tag</t>
  </si>
  <si>
    <t>TAG Penstemon Harlequin Magenta 25/25 Portrait Tag</t>
  </si>
  <si>
    <t>TAG Penstemon Harlequin Pink 25/25 Portrait Tag</t>
  </si>
  <si>
    <t>TAG Penstemon Harlequin Purple 25/25 Portrait Tag</t>
  </si>
  <si>
    <t>TAG Penstemon Harlequin Red 25/25 Portrait Tag</t>
  </si>
  <si>
    <t>TAG Penstemon Husker Red 100/100 Pixie Tag</t>
  </si>
  <si>
    <t>TAG Penstemon Husker Red 25/25 Portrait Tag</t>
  </si>
  <si>
    <t>TAG Penstemon Nova Pearl 25/25 Portrait Tag</t>
  </si>
  <si>
    <t>TAG Penstemon Nova Twilight 25/25 Portrait Tag</t>
  </si>
  <si>
    <t>TAG Penstemon Parade Of Parrots 25/25 Portrait Tag</t>
  </si>
  <si>
    <t>TAG Penstemon Partybells Red 100/100 Pixie Tag SF</t>
  </si>
  <si>
    <t>TAG Penstemon Partybells Violet 100/100 Pixie Tag SF</t>
  </si>
  <si>
    <t>TAG Penstemon Peptalk Cerise 100/100 Pixie Tag DO FUL</t>
  </si>
  <si>
    <t>TAG Penstemon Peptalk Hot Pink 100/100 Pixie Tag DO FUL</t>
  </si>
  <si>
    <t>TAG Penstemon PepTalk Mauve 100/100 Pixie Tag DO FUL</t>
  </si>
  <si>
    <t>TAG Penstemon Peptalk Pretty Pink 100/100 Pixie Tag DO FUL</t>
  </si>
  <si>
    <t>TAG Penstemon Peptalk Purple 100/100 Pixie Tag DO FUL</t>
  </si>
  <si>
    <t>TAG Penstemon Peptalk Red 100/100 Pixie Tag DO FUL</t>
  </si>
  <si>
    <t>TAG Penstemon Phoenix Appleblossom 50/50 Petite Portrait SF FUL</t>
  </si>
  <si>
    <t>TAG Penstemon Phoenix Lavender 50/50 Petite Portrait SF FUL</t>
  </si>
  <si>
    <t>TAG Penstemon Prairie Dusk 25/25 Portrait Tag</t>
  </si>
  <si>
    <t>TAG Penstemon Pristine Blue 100/100 Pixie Tag DO FUL</t>
  </si>
  <si>
    <t>TAG Penstemon Pristine Deep Rose 100/100 Pixie Tag DO FUL</t>
  </si>
  <si>
    <t>TAG Penstemon Pristine Deep Rose 50/50 Petite Portrait DO FUL</t>
  </si>
  <si>
    <t>TAG Penstemon Pristine Lila Purple 100/100 Pixie Tag DO FUL</t>
  </si>
  <si>
    <t>TAG Penstemon Pristine Lipstick 100/100 Pixie Tag DO FUL</t>
  </si>
  <si>
    <t>TAG Penstemon Pristine Nightshade 100/100 Pixie Tag DO FUL</t>
  </si>
  <si>
    <t>TAG Penstemon Pristine Pink 100/100 Pixie Tag DO FUL</t>
  </si>
  <si>
    <t>TAG Penstemon Pristine Primrose 100/100 Pixie Tag DO FUL</t>
  </si>
  <si>
    <t>TAG Penstemon Pristine Princess 100/100 Pixie Tag DO FUL</t>
  </si>
  <si>
    <t>TAG Penstemon Pristine Scarlet 100/100 Pixie Tag DO FUL</t>
  </si>
  <si>
    <t>TAG Penstemon Quartz Amethyst 25/25 Portrait Tag</t>
  </si>
  <si>
    <t>TAG Penstemon Quartz Red 25/25 Portrait Tag</t>
  </si>
  <si>
    <t>TAG Penstemon Quartz Rose 25/25 Portrait Tag</t>
  </si>
  <si>
    <t>TAG Penstemon Riding Hood Red 25/25 Portrait Tag</t>
  </si>
  <si>
    <t>TAG Penstemon Rock Candy Blue 25/25 Portrait Tag</t>
  </si>
  <si>
    <t>TAG Penstemon Rock Candy Light Pink 25/25 Portrait Tag</t>
  </si>
  <si>
    <t>TAG Penstemon Rock Candy Pink 25/25 Portrait Tag</t>
  </si>
  <si>
    <t>TAG Penstemon Rock Candy Purple 25/25 Portrait Tag</t>
  </si>
  <si>
    <t>TAG Penstemon Rock Candy Ruby 25/25 Portrait Tag</t>
  </si>
  <si>
    <t>TAG Penstemon Rondo Mix Barbatus 100/100 Pixie Tag</t>
  </si>
  <si>
    <t>TAG Penstemon Twizzle Coral Barbatus 25/25 Portrait Tag</t>
  </si>
  <si>
    <t>TAG Pentas Beebright Lipstick 100/100 Pixie Tag</t>
  </si>
  <si>
    <t>TAG Pentas Beebright Mix 100/100 Pixie Tag</t>
  </si>
  <si>
    <t>TAG Pentas Beebright Pink 100/100 Pixie Tag</t>
  </si>
  <si>
    <t>TAG Pentas Beebright Red 100/100 Pixie Tag SF</t>
  </si>
  <si>
    <t>TAG Pentas Beebright Violet 100/100 Pixie Tag SF</t>
  </si>
  <si>
    <t>TAG Pentas Beebright White 100/100 Pixie Tag SF</t>
  </si>
  <si>
    <t>TAG Pentas Beehive White 100/100 Pixie Tag SF</t>
  </si>
  <si>
    <t>TAG Pentas Butterfly Deep Pink 100/100 Pixie Tag</t>
  </si>
  <si>
    <t>TAG Pentas Butterfly Deep Rose 100/100 Pixie Tag</t>
  </si>
  <si>
    <t>TAG Pentas Butterfly Lavender Shades 100/100 Pixie Tag</t>
  </si>
  <si>
    <t>TAG Pentas Butterfly Light Lavender 100/100 Pixie Tag</t>
  </si>
  <si>
    <t>TAG Pentas Butterfly Mix 100/100 Pixie Tag</t>
  </si>
  <si>
    <t>TAG Pentas Butterfly Orchid 100/100 Pixie Tag</t>
  </si>
  <si>
    <t>TAG Pentas Butterfly Red 100/100 Pixie Tag</t>
  </si>
  <si>
    <t>TAG Pentas Butterfly White 100/100 Pixie Tag</t>
  </si>
  <si>
    <t>TAG Pentas GENERIC 100/100 Pixie Tag</t>
  </si>
  <si>
    <t>TAG Pentas GENERIC 25/25 Portrait Tag</t>
  </si>
  <si>
    <t>TAG Pentas Glitterati Purple Star 100/100 Pixie Tag</t>
  </si>
  <si>
    <t>TAG Pentas Glitterati Red Star 100/100 Pixie Tag</t>
  </si>
  <si>
    <t>TAG Pentas Graffiti 20/20 Appleblossom 100/100 Pixie Tag</t>
  </si>
  <si>
    <t>TAG Pentas Graffiti 20/20 Cranberry 100/100 Pixie Tag</t>
  </si>
  <si>
    <t>TAG Pentas Graffiti 20/20 Flrty Pink 100/100 Pixie Tag</t>
  </si>
  <si>
    <t>TAG Pentas Graffiti 20/20 Fuchsia 100/100 Pixie Tag</t>
  </si>
  <si>
    <t>TAG Pentas Graffiti 20/20 Lavender Pink 100/100 Pixie Tag</t>
  </si>
  <si>
    <t>TAG Pentas Graffiti 20/20 Lazer Pink 100/100 Pixie Tag</t>
  </si>
  <si>
    <t>TAG Pentas Graffiti 20/20 Mix 100/100 Pixie Tag</t>
  </si>
  <si>
    <t>TAG Pentas Graffiti 20/20 Ruby 100/100 Pixie Tag</t>
  </si>
  <si>
    <t>TAG Pentas Graffiti 20/20 True Pink 100/100 Pixie Tag</t>
  </si>
  <si>
    <t>TAG Pentas Graffiti 20/20 Ultra Violet 100/100 Pixie Tag</t>
  </si>
  <si>
    <t>TAG Pentas Graffiti 20/20 White 100/100 Pixie Tag</t>
  </si>
  <si>
    <t>TAG Pentas Graffiti Bright Red 100/100 Pixie Tag</t>
  </si>
  <si>
    <t>TAG Pentas Graffiti Lavender 100/100 Pixie Tag</t>
  </si>
  <si>
    <t>TAG Pentas Graffiti Lipstick 100/100 Pixie Tag</t>
  </si>
  <si>
    <t>TAG Pentas Graffiti Mix 100/100 Pixie Tag</t>
  </si>
  <si>
    <t>TAG Pentas Graffiti Pink 100/100 Pixie Tag</t>
  </si>
  <si>
    <t>TAG Pentas Graffiti Red Velvet 100/100 Pixie Tag</t>
  </si>
  <si>
    <t>TAG Pentas Graffiti Rose 100/100 Pixie Tag</t>
  </si>
  <si>
    <t>TAG Pentas Graffiti Series 100/100 Pixie Tag</t>
  </si>
  <si>
    <t>TAG Pentas Graffiti Violet 100/100 Pixie Tag</t>
  </si>
  <si>
    <t>TAG Pentas Graffiti White 100/100 Pixie Tag</t>
  </si>
  <si>
    <t>TAG Pentas Kaleidoscope Deep Red 100/100 Pixie Tag</t>
  </si>
  <si>
    <t>TAG Pentas Look Mix 100/100 Pixie Tag</t>
  </si>
  <si>
    <t>TAG Pentas Look Pink 100/100 Pixie Tag</t>
  </si>
  <si>
    <t>TAG Pentas Look Red 100/100 Pixie Tag</t>
  </si>
  <si>
    <t>TAG Pentas Look Violet 100/100 Pixie Tag</t>
  </si>
  <si>
    <t>TAG Pentas Look White 100/100 Pixie Tag</t>
  </si>
  <si>
    <t>TAG Pentas Lucky Star Dark Red 100/100 Pixie Tag</t>
  </si>
  <si>
    <t>TAG Pentas Lucky Star Deep Pink 100/100 Pixie Tag</t>
  </si>
  <si>
    <t>TAG Pentas Lucky Star Lavender 100/100 Pixie Tag</t>
  </si>
  <si>
    <t>TAG Pentas Lucky Star Lipstick 100/100 Pixie Tag</t>
  </si>
  <si>
    <t>TAG Pentas Lucky Star Mix 100/100 Pixie Tag</t>
  </si>
  <si>
    <t>TAG Pentas Lucky Star Pink 100/100 Pixie Tag</t>
  </si>
  <si>
    <t>TAG Pentas Lucky Star Raspberry 100/100 Pixie Tag</t>
  </si>
  <si>
    <t>TAG Pentas Lucky Star Violet 100/100 Pixie Tag</t>
  </si>
  <si>
    <t>TAG Pentas Lucky Star White 100/100 Pixie Tag</t>
  </si>
  <si>
    <t>TAG Pentas Pinata Lavender 50/50 Petite Portrait DO FUL</t>
  </si>
  <si>
    <t>TAG Pentas Pinata Pink 50/50 Petite Portrait DO FUL</t>
  </si>
  <si>
    <t>TAG Pentas Pinata Red 50/50 Petite Portrait DO FUL</t>
  </si>
  <si>
    <t>TAG Pentas Pinata White 50/50 Petite Portrait DO FUL</t>
  </si>
  <si>
    <t>TAG Pentas Starcluster Appleblossom 50/50 Petite Portrait SF FUL</t>
  </si>
  <si>
    <t>TAG Pentas Starcluster Cascade Blush 50/50 Petite Portrait SF FUL</t>
  </si>
  <si>
    <t>TAG Pentas Starcluster Cascade Pink Bicolor 50/50 Petite Portrait SF FUL</t>
  </si>
  <si>
    <t>TAG Pentas Starcluster Cascade Red 50/50 Petite Portrait SF FUL</t>
  </si>
  <si>
    <t>TAG Pentas Starcluster Cascade White 50/50 Petite Portrait SF FUL</t>
  </si>
  <si>
    <t>TAG Pentas Starcluster Lavender 50/50 Petite Portrait SF FUL</t>
  </si>
  <si>
    <t>TAG Pentas Starcluster Light Pink 50/50 Petite Portrait SF FUL</t>
  </si>
  <si>
    <t>TAG Pentas Starcluster Pink 50/50 Petite Portrait SF FUL</t>
  </si>
  <si>
    <t>TAG Pentas Starcluster Red 50/50 Petite Portrait SF FUL</t>
  </si>
  <si>
    <t>TAG Pentas Starcluster Rose Improved 50/50 Petite Portrait SF FUL</t>
  </si>
  <si>
    <t>TAG Pentas Starcluster Violet 50/50 Petite Portrait SF FUL</t>
  </si>
  <si>
    <t>TAG Pentas Starcluster White 50/50 Petite Portrait SF FUL</t>
  </si>
  <si>
    <t>TAG Peperomia Ferreyrae 100/100 Pixie Tag DO FUL</t>
  </si>
  <si>
    <t>TAG Peperomia GENERIC 100/100 Pixie Tag</t>
  </si>
  <si>
    <t>TAG Peperomia Graveolens 100/100 Pixie Tag DO FUL</t>
  </si>
  <si>
    <t>TAG Peperomia Happy Bean 100/100 Pixie Tag</t>
  </si>
  <si>
    <t>TAG Peperomia Jitterbug 100/100 Pixie Tag</t>
  </si>
  <si>
    <t>TAG Peperomia Marble 100/100 Pixie Tag DO FUL</t>
  </si>
  <si>
    <t>TAG Peperomia Pepperspot 100/100 Pixie Tag</t>
  </si>
  <si>
    <t>TAG Peperomia Piccola Banda GENERIC 100/100 Pixie Tag</t>
  </si>
  <si>
    <t>TAG Peperomia Red Log Verticillata 100/100 Pixie Tag</t>
  </si>
  <si>
    <t>TAG Peperomia Rippled Leaf 100/100 Pixie Tag</t>
  </si>
  <si>
    <t>TAG Peperomia Ruby Glow 100/100 Pixie Tag</t>
  </si>
  <si>
    <t>TAG Peperomia String Turtles 100/100 Pixie Tag</t>
  </si>
  <si>
    <t>TAG Peperomia Watermelon 100/100 Pixie Tag</t>
  </si>
  <si>
    <t>TAG Pepper Acapulco XP Series 100/100 Pixie Tag</t>
  </si>
  <si>
    <t>TAG Pepper Ace 100/100 Pixie Tag</t>
  </si>
  <si>
    <t>TAG Pepper Aconcaqua 100/100 Pixie Tag</t>
  </si>
  <si>
    <t>TAG Pepper Admiral 100/100 Pixie Tag</t>
  </si>
  <si>
    <t>TAG Pepper Aji Rico 100/100 Pixie Tag</t>
  </si>
  <si>
    <t>TAG Pepper Aladdin 100/100 Pixie Tag</t>
  </si>
  <si>
    <t>TAG Pepper Alter Ego 100/100 Pixie Tag</t>
  </si>
  <si>
    <t>TAG Pepper Anaheim Chili 100/100 Pixie Tag</t>
  </si>
  <si>
    <t>TAG Pepper Anaheim Chili 200/200 Thriftee Tag</t>
  </si>
  <si>
    <t>TAG Pepper Ancho Poblano 100/100 Pixie Tag</t>
  </si>
  <si>
    <t>TAG Pepper Ancho Sanchez 100/100 Pixie Tag</t>
  </si>
  <si>
    <t>TAG Pepper Apache Chili 100/100 Pixie Tag SF</t>
  </si>
  <si>
    <t>TAG Pepper Aruba 100/100 Pixie Tag SF</t>
  </si>
  <si>
    <t>TAG Pepper Atomic 100/100 Pixie Tag</t>
  </si>
  <si>
    <t>TAG Pepper Banana Supreme 100/100 Pixie Tag</t>
  </si>
  <si>
    <t>TAG Pepper Baron 100/100 Pixie Tag</t>
  </si>
  <si>
    <t>TAG Pepper Basket Of Fire 100/100 Pixie Tag</t>
  </si>
  <si>
    <t>TAG Pepper Bayonet 100/100 Pixie Tag SF</t>
  </si>
  <si>
    <t>TAG Pepper Bell 100/100 Pixie Tag</t>
  </si>
  <si>
    <t>TAG Pepper Bell Boy 100/100 Pixie Tag</t>
  </si>
  <si>
    <t>TAG Pepper Bell Green Tasty 100/100 Pixie Tag</t>
  </si>
  <si>
    <t>TAG Pepper Better Belle II 100/100 Pixie Tag</t>
  </si>
  <si>
    <t>TAG Pepper Big Bertha 100/100 Pixie Tag</t>
  </si>
  <si>
    <t>TAG Pepper Big Chili 100/100 Pixie Tag</t>
  </si>
  <si>
    <t>TAG Pepper Big Early 100/100 Pixie Tag</t>
  </si>
  <si>
    <t>TAG Pepper Big Jim 100/100 Pixie Tag</t>
  </si>
  <si>
    <t>TAG Pepper Big Red 100/100 Pixie Tag</t>
  </si>
  <si>
    <t>TAG Pepper Biscayne 200/200 Thriftee Tag</t>
  </si>
  <si>
    <t>TAG Pepper Black Olive 100/100 Pixie Tag</t>
  </si>
  <si>
    <t>TAG Pepper Black Pearl 100/100 Pixie Tag</t>
  </si>
  <si>
    <t>TAG Pepper Blaze 100/100 Pixie Tag</t>
  </si>
  <si>
    <t>TAG Pepper Blushing Beauty 100/100 Pixie Tag</t>
  </si>
  <si>
    <t>TAG Pepper Buffy 100/100 Pixie Tag</t>
  </si>
  <si>
    <t>TAG Pepper Bulgarian Carrot 100/100 Pixie Tag</t>
  </si>
  <si>
    <t>TAG Pepper Cajun Belle Sweet 100/100 Pixie Tag</t>
  </si>
  <si>
    <t>TAG Pepper Calico 100/100 Pixie Tag</t>
  </si>
  <si>
    <t>TAG Pepper California Wonder 100/100 Pixie Tag</t>
  </si>
  <si>
    <t>TAG Pepper California Wonder 200/200 Thriftee Tag</t>
  </si>
  <si>
    <t>TAG Pepper California Wonder Golden 100/100 Pixie Tag</t>
  </si>
  <si>
    <t>TAG Pepper California Wonder Yellow 100/100 Pixie Tag</t>
  </si>
  <si>
    <t>TAG Pepper California Wonderful 100/100 Pixie Tag</t>
  </si>
  <si>
    <t>TAG Pepper Calwonder 100/100 Pixie Tag</t>
  </si>
  <si>
    <t>TAG Pepper Candy Cane Chocolate Cherry 100/100 Pixie Tag</t>
  </si>
  <si>
    <t>TAG Pepper Candy Cane Red 100/100 Pixie Tag</t>
  </si>
  <si>
    <t>TAG Pepper Carmen 100/100 Pixie Tag</t>
  </si>
  <si>
    <t>TAG Pepper Carolina Reaper 100/100 Pixie Tag</t>
  </si>
  <si>
    <t>TAG Pepper Cayenne Hot 100/100 Pixie Tag</t>
  </si>
  <si>
    <t>TAG Pepper Cayenne Long Red 100/100 Pixie Tag</t>
  </si>
  <si>
    <t>TAG Pepper Cayenne Long Red 200/200 Thriftee Tag</t>
  </si>
  <si>
    <t>TAG Pepper Cayenne Long Slim 100/100 Pixie Tag</t>
  </si>
  <si>
    <t>TAG Pepper Cayenne Long Thin 100/100 Pixie Tag</t>
  </si>
  <si>
    <t>TAG Pepper Cayenne Thick Hot 100/100 Pixie Tag</t>
  </si>
  <si>
    <t>TAG Pepper Cayennetta 100/100 Pixie Tag</t>
  </si>
  <si>
    <t>TAG Pepper Chardonnay 100/100 Pixie Tag</t>
  </si>
  <si>
    <t>TAG Pepper Cherry Bomb 100/100 Pixie Tag</t>
  </si>
  <si>
    <t>TAG Pepper Cherry Pick 100/100 Pixie Tag</t>
  </si>
  <si>
    <t>TAG Pepper Cheyenne 100/100 Pixie Tag</t>
  </si>
  <si>
    <t>TAG Pepper Chile De Arbol 100/100 Pixie Tag</t>
  </si>
  <si>
    <t>TAG Pepper Chili Grande 100/100 Pixie Tag</t>
  </si>
  <si>
    <t>TAG Pepper Chili Pie 100/100 Pixie Tag</t>
  </si>
  <si>
    <t>TAG Pepper Chilly Chili 100/100 Pixie Tag</t>
  </si>
  <si>
    <t>TAG Pepper Chiltepin 100/100 Pixie Tag</t>
  </si>
  <si>
    <t>TAG Pepper Chinese Giant 100/100 Pixie Tag</t>
  </si>
  <si>
    <t>TAG Pepper Chocolate Beauty 100/100 Pixie Tag</t>
  </si>
  <si>
    <t>TAG Pepper Chocolate Bell 100/100 Pixie Tag</t>
  </si>
  <si>
    <t>TAG Pepper Classic 100/100 Pixie Tag</t>
  </si>
  <si>
    <t>TAG Pepper Colossal 100/100 Pixie Tag</t>
  </si>
  <si>
    <t>TAG Pepper Compadre 100/100 Pixie Tag SF</t>
  </si>
  <si>
    <t>TAG Pepper Cornito Giallo 100/100 Pixie Tag</t>
  </si>
  <si>
    <t>TAG Pepper Corno Di Toro 100/100 Pixie Tag</t>
  </si>
  <si>
    <t>TAG Pepper Cowhorn 100/100 Pixie Tag</t>
  </si>
  <si>
    <t>TAG Pepper Crackle 100/100 Pixie Tag</t>
  </si>
  <si>
    <t>TAG Pepper Crest Yellow 100/100 Pixie Tag</t>
  </si>
  <si>
    <t>TAG Pepper Crusader 100/100 Pixie Tag SF</t>
  </si>
  <si>
    <t>TAG Pepper Cubana Series 100/100 Pixie Tag</t>
  </si>
  <si>
    <t>TAG Pepper Cubanelle 100/100 Pixie Tag</t>
  </si>
  <si>
    <t>TAG Pepper Cute Stuff Gold 100/100 Pixie Tag</t>
  </si>
  <si>
    <t>TAG Pepper Cute Stuff Red 100/100 Pixie Tag</t>
  </si>
  <si>
    <t>TAG Pepper Dragon Cayenne 100/100 Pixie Tag</t>
  </si>
  <si>
    <t>TAG Pepper Dragonfly 100/100 Pixie Tag</t>
  </si>
  <si>
    <t>TAG Pepper Durango 100/100 Pixie Tag</t>
  </si>
  <si>
    <t>TAG Pepper Early Bell 100/100 Pixie Tag</t>
  </si>
  <si>
    <t>TAG Pepper Early Red 100/100 Pixie Tag</t>
  </si>
  <si>
    <t>TAG Pepper Early Summer 100/100 Pixie Tag</t>
  </si>
  <si>
    <t>TAG Pepper Early Sunsation 100/100 Pixie Tag</t>
  </si>
  <si>
    <t>TAG Pepper El Jefe 100/100 Pixie Tag</t>
  </si>
  <si>
    <t>TAG Pepper Emerald Fire 100/100 Pixie Tag</t>
  </si>
  <si>
    <t>TAG Pepper Emerald Giant 100/100 Pixie Tag</t>
  </si>
  <si>
    <t>TAG Pepper Escamillo 100/100 Pixie Tag</t>
  </si>
  <si>
    <t>TAG Pepper Fat N Sassy 100/100 Pixie Tag</t>
  </si>
  <si>
    <t>TAG Pepper Fatali 100/100 Pixie Tag</t>
  </si>
  <si>
    <t>TAG Pepper Flaming Flare 100/100 Pixie Tag</t>
  </si>
  <si>
    <t>TAG Pepper Flaming Jade 100/100 Pixie Tag</t>
  </si>
  <si>
    <t>TAG Pepper Flamingo 100/100 Pixie Tag</t>
  </si>
  <si>
    <t>TAG Pepper Fooled You 100/100 Pixie Tag</t>
  </si>
  <si>
    <t>TAG Pepper Fresh Bites Orange 100/100 Pixie Tag</t>
  </si>
  <si>
    <t>TAG Pepper Fresh Bites Red 100/100 Pixie Tag</t>
  </si>
  <si>
    <t>TAG Pepper Fresh Bites Yellow 100/100 Pixie Tag</t>
  </si>
  <si>
    <t>TAG Pepper Fresno Chili 100/100 Pixie Tag</t>
  </si>
  <si>
    <t>TAG Pepper Garden Leader Tasty Orange 100/100 Pixie Tag</t>
  </si>
  <si>
    <t>TAG Pepper Garden Leader Tasty Purple Bell 100/100 Pixie Tag</t>
  </si>
  <si>
    <t>TAG Pepper Garden Salsa 100/100 Pixie Tag</t>
  </si>
  <si>
    <t>TAG Pepper Ghost Bhut Jolokia 100/100 Pixie Tag</t>
  </si>
  <si>
    <t>TAG Pepper Giant Jalapeno 100/100 Pixie Tag</t>
  </si>
  <si>
    <t>TAG Pepper Giant Marconi 100/100 Pixie Tag</t>
  </si>
  <si>
    <t>TAG Pepper Giant Ristra 100/100 Pixie Tag</t>
  </si>
  <si>
    <t>TAG Pepper GENERIC 100/100 Pixie Tag</t>
  </si>
  <si>
    <t>TAG Pepper Golden Bell 100/100 Pixie Tag</t>
  </si>
  <si>
    <t>TAG Pepper Golden Summer 100/100 Pixie Tag</t>
  </si>
  <si>
    <t>TAG Pepper Golden Wonder 100/100 Pixie Tag</t>
  </si>
  <si>
    <t>TAG Pepper Goliath 100/100 Pixie Tag</t>
  </si>
  <si>
    <t>TAG Pepper Goliath Large Sweet 100/100 Pixie Tag</t>
  </si>
  <si>
    <t>TAG Pepper Green Chile 100/100 Pixie Tag</t>
  </si>
  <si>
    <t>TAG Pepper Green Frying 100/100 Pixie Tag</t>
  </si>
  <si>
    <t>TAG Pepper Gypsy 100/100 Pixie Tag</t>
  </si>
  <si>
    <t>TAG Pepper Habanada 100/100 Pixie Tag</t>
  </si>
  <si>
    <t>TAG Pepper Habanero 100/100 Pixie Tag</t>
  </si>
  <si>
    <t>TAG Pepper Habanero Chocolate 100/100 Pixie Tag</t>
  </si>
  <si>
    <t>TAG Pepper Habanero Red 100/100 Pixie Tag</t>
  </si>
  <si>
    <t>TAG Pepper Habanero White 100/100 Pixie Tag</t>
  </si>
  <si>
    <t>TAG Pepper Holy Mole 100/100 Pixie Tag</t>
  </si>
  <si>
    <t>TAG Pepper Hot 100/100 Pixie Tag</t>
  </si>
  <si>
    <t>TAG Pepper Hot Banana 100/100 Pixie Tag</t>
  </si>
  <si>
    <t>TAG Pepper Hot Caribbean Red 100/100 Pixie Tag</t>
  </si>
  <si>
    <t>TAG Pepper Hot Cherry 100/100 Pixie Tag</t>
  </si>
  <si>
    <t>TAG Pepper Hot Jalapeno 100/100 Pixie Tag</t>
  </si>
  <si>
    <t>TAG Pepper Hot Jalapeno 200/200 Thriftee Tag</t>
  </si>
  <si>
    <t>TAG Pepper Hot Pops Purple 100/100 Pixie Tag</t>
  </si>
  <si>
    <t>TAG Pepper Hot Pops Yellow 100/100 Pixie Tag</t>
  </si>
  <si>
    <t>TAG Pepper Hot Portugal 100/100 Pixie Tag</t>
  </si>
  <si>
    <t>TAG Pepper Hot Sunset 100/100 Pixie Tag</t>
  </si>
  <si>
    <t>TAG Pepper Hot Thai 100/100 Pixie Tag</t>
  </si>
  <si>
    <t>TAG Pepper Hot Kitchen Minis Adobo 100/100 Pixie Tag</t>
  </si>
  <si>
    <t>TAG Pepper Hot Kitchen Minis Burrito 100/100 Pixie Tag</t>
  </si>
  <si>
    <t>TAG Pepper Hot Kitchen MInis Burito 25/25 Portrait Tag</t>
  </si>
  <si>
    <t>TAG Pepper Cosmo Hot Kitchen Minis 100/100 Pixie Tag</t>
  </si>
  <si>
    <t>TAG Pepper Hot Kitchen MInis Cosmo 25/25 Portrait Tag</t>
  </si>
  <si>
    <t>TAG Pepper Hot Kitchen Minis Fajita 100/100 Pixie Tag</t>
  </si>
  <si>
    <t>TAG Pepper Hot Kitchen MInis Fajita 25/25 Portrait Tag</t>
  </si>
  <si>
    <t>TAG Pepper Hot Kitchen Minis Joker 100/100 Pixie Tag</t>
  </si>
  <si>
    <t>TAG Pepper Hot Kitchen Minis Lemon 100/100 Pixie Tag</t>
  </si>
  <si>
    <t>TAG Pepper Hot Kitchen MInis Lemon Zest 25/25 Portrait Tag</t>
  </si>
  <si>
    <t>TAG Pepper Hot Kitchen Minis Pinata 100/100 Pixie Tag</t>
  </si>
  <si>
    <t>TAG Pepper Hot Kitchen Minis Tamale 100/100 Pixie Tag</t>
  </si>
  <si>
    <t>TAG Pepper Hot Kitchen MInis Tamale 25/25 Portrait Tag</t>
  </si>
  <si>
    <t>TAG Pepper Hot Kitchen Minis Taquito 100/100 Pixie Tag</t>
  </si>
  <si>
    <t>TAG Pepper Hot Kitchen MInis Tquito 25/25 Portrait Tag</t>
  </si>
  <si>
    <t>TAG Pepper Hungarian Cheese Type 100/100 Pixie Tag</t>
  </si>
  <si>
    <t>TAG Pepper Hungarian Wax 100/100 Pixie Tag</t>
  </si>
  <si>
    <t>TAG Pepper Hungarian Wax 200/200 Thriftee Tag</t>
  </si>
  <si>
    <t>TAG Pepper Hungarian Wax Sweet 100/100 Pixie Tag</t>
  </si>
  <si>
    <t>TAG Pepper Hunter 100/100 Pixie Tag</t>
  </si>
  <si>
    <t>TAG Pepper Inferno 100/100 Pixie Tag</t>
  </si>
  <si>
    <t>TAG Pepper Italia 100/100 Pixie Tag</t>
  </si>
  <si>
    <t>TAG Pepper Italian Roaster 100/100 Pixie Tag</t>
  </si>
  <si>
    <t>TAG Pepper Italianelle 100/100 Pixie Tag</t>
  </si>
  <si>
    <t>TAG Pepper Ivory 100/100 Pixie Tag</t>
  </si>
  <si>
    <t>TAG Pepper Jalapa 100/100 Pixie Tag</t>
  </si>
  <si>
    <t>TAG Pepper Jalapeno 100/100 Pixie Tag</t>
  </si>
  <si>
    <t>TAG Pepper Jalapeno Early 100/100 Pixie Tag</t>
  </si>
  <si>
    <t>TAG Pepper Jamaican Red 100/100 Pixie Tag</t>
  </si>
  <si>
    <t>TAG Pepper Jamaican Yellow 100/100 Pixie Tag</t>
  </si>
  <si>
    <t>TAG Pepper Jimmy Nardello's 100/100 Pixie Tag</t>
  </si>
  <si>
    <t>TAG Pepper Jupiter 100/100 Pixie Tag</t>
  </si>
  <si>
    <t>TAG Pepper Just Sweet 100/100 Pixie Tag</t>
  </si>
  <si>
    <t>TAG Pepper Keystone Resistant Giant 100/100 Pixie Tag</t>
  </si>
  <si>
    <t>TAG Pepper King Arthur 100/100 Pixie Tag</t>
  </si>
  <si>
    <t>TAG Pepper Kung Pao 100/100 Pixie Tag</t>
  </si>
  <si>
    <t>TAG Pepper La Bomba 100/100 Pixie Tag</t>
  </si>
  <si>
    <t>TAG Pepper La Bomba II 100/100 Pixie Tag</t>
  </si>
  <si>
    <t>TAG Pepper Lady Bell 100/100 Pixie Tag</t>
  </si>
  <si>
    <t>TAG Pepper Lemon Drop 100/100 Pixie Tag</t>
  </si>
  <si>
    <t>TAG Pepper Liberty Belle 100/100 Pixie Tag</t>
  </si>
  <si>
    <t>TAG Pepper Lilac 100/100 Pixie Tag</t>
  </si>
  <si>
    <t>TAG Pepper Longhorn 100/100 Pixie Tag SF</t>
  </si>
  <si>
    <t>TAG Pepper Lunchbox Mix 100/100 Pixie Tag</t>
  </si>
  <si>
    <t>TAG Pepper Mad Hatter 100/100 Pixie Tag</t>
  </si>
  <si>
    <t>TAG Pepper Majestic Red 100/100 Pixie Tag</t>
  </si>
  <si>
    <t>TAG Pepper Mama Mia Giallo 100/100 Pixie Tag</t>
  </si>
  <si>
    <t>TAG Pepper Mandarin 100/100 Pixie Tag</t>
  </si>
  <si>
    <t>TAG Pepper Mariachi 100/100 Pixie Tag</t>
  </si>
  <si>
    <t>TAG Pepper Masquerade 100/100 Pixie Tag</t>
  </si>
  <si>
    <t>TAG Pepper Medium Hot Block 100/100 Pixie Tag</t>
  </si>
  <si>
    <t>TAG Pepper Medusa 100/100 Pixie Tag</t>
  </si>
  <si>
    <t>TAG Pepper Melrose Sweet 100/100 Pixie Tag</t>
  </si>
  <si>
    <t>TAG Pepper Merlot 100/100 Pixie Tag</t>
  </si>
  <si>
    <t>TAG Pepper Mexi Bell 100/100 Pixie Tag</t>
  </si>
  <si>
    <t>TAG Pepper Midas 100/100 Pixie Tag</t>
  </si>
  <si>
    <t>TAG Pepper Midnight Fire 100/100 Pixie Tag</t>
  </si>
  <si>
    <t>TAG Pepper Mini Bell Pepper GENERIC 100/100 Pixie Tag</t>
  </si>
  <si>
    <t>TAG Pepper Mini Snack Pepper GENERIC 100/100 Pixie Tag</t>
  </si>
  <si>
    <t>TAG Pepper Mohawk 100/100 Pixie Tag</t>
  </si>
  <si>
    <t>TAG Pepper Mosquetero 100/100 Pixie Tag</t>
  </si>
  <si>
    <t>TAG Pepper Mucho Nacho Hybrid 100/100 Pixie Tag</t>
  </si>
  <si>
    <t>TAG Pepper Muscato 100/100 Pixie Tag</t>
  </si>
  <si>
    <t>TAG Pepper New Ace 100/100 Pixie Tag</t>
  </si>
  <si>
    <t>TAG Pepper North Star 100/100 Pixie Tag</t>
  </si>
  <si>
    <t>TAG Pepper Numex Easter 100/100 Pixie Tag</t>
  </si>
  <si>
    <t>TAG Pepper Onyx Orange 100/100 Pixie Tag</t>
  </si>
  <si>
    <t>TAG Pepper Onyx Red 100/100 Pixie Tag</t>
  </si>
  <si>
    <t>TAG Pepper Orange Blaze 100/100 Pixie Tag</t>
  </si>
  <si>
    <t>TAG Pepper Orange Marmalade 100/100 Pixie Tag</t>
  </si>
  <si>
    <t>TAG Pepper Orange You Sweet 100/100 Pixie Tag</t>
  </si>
  <si>
    <t>TAG Pepper Oriole 100/100 Pixie Tag</t>
  </si>
  <si>
    <t>TAG Pepper Pageant 100/100 Pixie Tag</t>
  </si>
  <si>
    <t>TAG Pepper Paprika Supreme 100/100 Pixie Tag</t>
  </si>
  <si>
    <t>TAG Pepper Parks Whopper 100/100 Pixie Tag</t>
  </si>
  <si>
    <t>TAG Pepper Parks Whopper II 100/100 Pixie Tag</t>
  </si>
  <si>
    <t>TAG Pepper Parks Whopper Jalapeno 100/100 Pixie Tag</t>
  </si>
  <si>
    <t>TAG Pepper Patio Type GENERIC 100/100 Pixie Tag</t>
  </si>
  <si>
    <t>TAG Pepper Patio Snacker 100/100 Pixie Tag</t>
  </si>
  <si>
    <t>TAG Pepper Pennbell 100/100 Pixie Tag</t>
  </si>
  <si>
    <t>TAG Pepper Peperomia Baby Rubber Plant 100/100 Pixie Tag</t>
  </si>
  <si>
    <t>TAG Pepper Peperomia Beetle 100/100 Pixie Tag</t>
  </si>
  <si>
    <t>TAG Pepper Peppi Cornissimo 100/100 Pixie Tag</t>
  </si>
  <si>
    <t>TAG Pepper Peppi Grande Red 100/100 Pixie Tag</t>
  </si>
  <si>
    <t>TAG Pepper Peppi Red 100/100 Pixie Tag</t>
  </si>
  <si>
    <t>TAG Pepper Peppi Yellow 100/100 Pixie Tag</t>
  </si>
  <si>
    <t>TAG Pepper Pimento 100/100 Pixie Tag</t>
  </si>
  <si>
    <t>TAG Pepper Pimento Elite 100/100 Pixie Tag</t>
  </si>
  <si>
    <t>TAG Pepper Pimento Perfection 100/100 Pixie Tag</t>
  </si>
  <si>
    <t>TAG Pepper Pot A Peno 100/100 Pixie Tag</t>
  </si>
  <si>
    <t>TAG Pepper Pretty N Sweet 100/100 Pixie Tag</t>
  </si>
  <si>
    <t>TAG Pepper Primero Red 100/100 Pixie Tag</t>
  </si>
  <si>
    <t>TAG Pepper Prism 100/100 Pixie Tag</t>
  </si>
  <si>
    <t>TAG Pepper Purple Beauty 100/100 Pixie Tag</t>
  </si>
  <si>
    <t>TAG Pepper Purple Flash 100/100 Pixie Tag</t>
  </si>
  <si>
    <t>TAG Pepper Quickfire 100/100 Pixie Tag</t>
  </si>
  <si>
    <t>TAG Pepper Rainbow Mix 100/100 Pixie Tag</t>
  </si>
  <si>
    <t>TAG Pepper Red Belt 100/100 Pixie Tag</t>
  </si>
  <si>
    <t>TAG Pepper Red Bull 100/100 Pixie Tag</t>
  </si>
  <si>
    <t>TAG Pepper Red Chili 100/100 Pixie Tag</t>
  </si>
  <si>
    <t>TAG Pepper Red Ember 100/100 Pixie Tag</t>
  </si>
  <si>
    <t>TAG Pepper Red Impact 100/100 Pixie Tag</t>
  </si>
  <si>
    <t>TAG Pepper Red Knight 100/100 Pixie Tag</t>
  </si>
  <si>
    <t>TAG Pepper Red Missile 100/100 Pixie Tag</t>
  </si>
  <si>
    <t>TAG Pepper Red Peter 100/100 Pixie Tag</t>
  </si>
  <si>
    <t>TAG Pepper Redskin 100/100 Pixie Tag SF</t>
  </si>
  <si>
    <t>TAG Pepper Revolution 100/100 Pixie Tag</t>
  </si>
  <si>
    <t>TAG Pepper Right On Red 100/100 Pixie Tag</t>
  </si>
  <si>
    <t>TAG Pepper Roulette 100/100 Pixie Tag</t>
  </si>
  <si>
    <t>TAG Pepper Rumanian Sweet 100/100 Pixie Tag</t>
  </si>
  <si>
    <t>TAG Pepper Salsa Orange 100/100 Pixie Tag</t>
  </si>
  <si>
    <t>TAG Pepper Salsa Purple Yellow 100/100 Pixie Tag</t>
  </si>
  <si>
    <t>TAG Pepper Salsa Red 100/100 Pixie Tag</t>
  </si>
  <si>
    <t>TAG Pepper Salsa Yellow 100/100 Pixie Tag</t>
  </si>
  <si>
    <t>TAG Pepper San Joaquin 100/100 Pixie Tag</t>
  </si>
  <si>
    <t>TAG Pepper Sangria 100/100 Pixie Tag</t>
  </si>
  <si>
    <t>TAG Pepper Santa Fe Grande 100/100 Pixie Tag</t>
  </si>
  <si>
    <t>TAG Pepper Scorpion Butch T 100/100 Pixie Tag</t>
  </si>
  <si>
    <t>TAG Pepper Scorpion Trindad Moruga 100/100 Pixie Tag</t>
  </si>
  <si>
    <t>TAG Pepper Scotch Bonnet 100/100 Pixie Tag</t>
  </si>
  <si>
    <t>TAG Pepper Sedona Sun 100/100 Pixie Tag</t>
  </si>
  <si>
    <t>TAG Pepper Serrano 100/100 Pixie Tag</t>
  </si>
  <si>
    <t>TAG Pepper Serrano Del Sol 100/100 Pixie Tag</t>
  </si>
  <si>
    <t>TAG Pepper Shishito 100/100 Pixie Tag</t>
  </si>
  <si>
    <t>TAG Pepper Snackabelle Red 100/100 Pixie Tag</t>
  </si>
  <si>
    <t>TAG Pepper Spanish Spice 100/100 Pixie Tag</t>
  </si>
  <si>
    <t>TAG Pepper Spicy Slice 100/100 Pixie Tag</t>
  </si>
  <si>
    <t>TAG Pepper Sriracha 100/100 Pixie Tag</t>
  </si>
  <si>
    <t>TAG Pepper Staddon's Select 100/100 Pixie Tag</t>
  </si>
  <si>
    <t>TAG Pepper Sun Bell 100/100 Pixie Tag</t>
  </si>
  <si>
    <t>TAG Pepper Super Cayenne 100/100 Pixie Tag</t>
  </si>
  <si>
    <t>TAG Pepper Super Chili 100/100 Pixie Tag</t>
  </si>
  <si>
    <t>TAG Pepper Super Heavyweight 100/100 Pixie Tag</t>
  </si>
  <si>
    <t>TAG Pepper Super Khi 100/100 Pixie Tag</t>
  </si>
  <si>
    <t>TAG Pepper Super Serrano 100/100 Pixie Tag</t>
  </si>
  <si>
    <t>TAG Pepper Sweet 100/100 Pixie Tag</t>
  </si>
  <si>
    <t>TAG Pepper Sweet Banana 100/100 Pixie Tag</t>
  </si>
  <si>
    <t>TAG Pepper Sweet Banana 200/200 Thriftee Tag</t>
  </si>
  <si>
    <t>TAG Pepper Sweet Banana Whopper 100/100 Pixie Tag</t>
  </si>
  <si>
    <t>TAG Pepper Bell Orange Sweet 100/100 Pixie Tag</t>
  </si>
  <si>
    <t>TAG Pepper Bell Red Sweet 100/100 Pixie Tag</t>
  </si>
  <si>
    <t>TAG Pepper Bell Yellow Sweet 100/100 Pixie Tag</t>
  </si>
  <si>
    <t>TAG Pepper Sweet Cherry 100/100 Pixie Tag</t>
  </si>
  <si>
    <t>TAG Pepper Sweet Habanero Type GENERIC 100/100 Pixie Tag</t>
  </si>
  <si>
    <t>TAG Pepper Sweet Heat 100/100 Pixie Tag</t>
  </si>
  <si>
    <t>TAG Pepper Sweet Italian 100/100 Pixie Tag</t>
  </si>
  <si>
    <t>TAG Pepper Sweet Jalapeno Type GENERIC 100/100 Pixie Tag</t>
  </si>
  <si>
    <t>TAG Pepper Sweet Sunset 100/100 Pixie Tag</t>
  </si>
  <si>
    <t>TAG Pepper Sweetie Pie 100/100 Pixie Tag</t>
  </si>
  <si>
    <t>TAG Pepper Sweet Kitchen MInis Fresh Bites Orange 25/25 Portrait Tag</t>
  </si>
  <si>
    <t>TAG Pepper Sweet Kitchen MInis Fresh Bites Red 25/25 Portrait Tag</t>
  </si>
  <si>
    <t>TAG Pepper Sweet Kitchen MInis Fresh Bites Yellow 25/25 Portrait Tag</t>
  </si>
  <si>
    <t>TAG Pepper Tabasco 100/100 Pixie Tag</t>
  </si>
  <si>
    <t>TAG Pepper Takara 100/100 Pixie Tag</t>
  </si>
  <si>
    <t>TAG Pepper Tam Jalapeno 100/100 Pixie Tag</t>
  </si>
  <si>
    <t>TAG Pepper Tasty Poblano 100/100 Pixie Tag</t>
  </si>
  <si>
    <t>TAG Pepper Thai Dragon 100/100 Pixie Tag</t>
  </si>
  <si>
    <t>TAG Pepper Tiburon 100/100 Pixie Tag</t>
  </si>
  <si>
    <t>TAG Pepper Trailblazer 100/100 Pixie Tag</t>
  </si>
  <si>
    <t>TAG Pepper Trinidad Scorpion 100/100 Pixie Tag</t>
  </si>
  <si>
    <t>TAG Pepper Valencia 100/100 Pixie Tag</t>
  </si>
  <si>
    <t>TAG Pepper Wicked 100/100 Pixie Tag</t>
  </si>
  <si>
    <t>TAG Pepper Wildcat 100/100 Pixie Tag</t>
  </si>
  <si>
    <t>TAG Pepper Wizard 100/100 Pixie Tag</t>
  </si>
  <si>
    <t>TAG Pepper Yellow Belle 100/100 Pixie Tag</t>
  </si>
  <si>
    <t>TAG Pepper Yellow Stuffer 100/100 Pixie Tag</t>
  </si>
  <si>
    <t>TAG Pepper Yes To Yellow 100/100 Pixie Tag</t>
  </si>
  <si>
    <t>TAG Pepper Yolo Wonder 100/100 Pixie Tag</t>
  </si>
  <si>
    <t>TAG Pepper Yum Yum 100/100 Pixie Tag</t>
  </si>
  <si>
    <t>TAG Pericallis Mandala Plus Blue Bicolor 50/50 Petite Portrait DO FUL</t>
  </si>
  <si>
    <t>TAG Pericallis Mandala Plus Magic Purple 50/50 Petite Portrait DO FUL</t>
  </si>
  <si>
    <t>TAG Pericallis Primavera Series 100/100 Pixie Tag</t>
  </si>
  <si>
    <t>TAG Perilla Britton Shiso 25/25 Portrait Tag</t>
  </si>
  <si>
    <t>TAG Perilla Red 100/100 Pixie Tag</t>
  </si>
  <si>
    <t>TAG Perilla Tricolor 100/100 Pixie Tag</t>
  </si>
  <si>
    <t>TAG Perovskia Blue Steel Atriplicifolia 25/25 Portrait Tag</t>
  </si>
  <si>
    <t>TAG Perovskia Bluesette 25/25 Portrait Tag</t>
  </si>
  <si>
    <t>TAG Perovskia CrazyBlue 100/100 Pixie Tag DO FUL</t>
  </si>
  <si>
    <t>TAG Perovskia CrazyBlue 25/25 Portrait Tag</t>
  </si>
  <si>
    <t>TAG Perovskia Jelena 100/100 Pixie Tag DO FUL</t>
  </si>
  <si>
    <t>TAG Perovskia Lacey Blue 100/100 Pixie Tag DO FUL</t>
  </si>
  <si>
    <t>TAG Perovskia Lacey Blue 25/25 Portrait Tag</t>
  </si>
  <si>
    <t>TAG Perovskia Little Lace 25/25 Portrait Tag</t>
  </si>
  <si>
    <t>TAG Perovskia Little Spire 100/100 Pixie Tag DO FUL</t>
  </si>
  <si>
    <t>TAG Perovskia Little Spire 25/25 Portrait Tag</t>
  </si>
  <si>
    <t>TAG Perovskia Little Spire 50/50 Petite Portrait DO FUL</t>
  </si>
  <si>
    <t>TAG Perovskia Longin 25/25 Portrait Tag</t>
  </si>
  <si>
    <t>TAG Perovskia Prime Time 25/25 Portrait Tag</t>
  </si>
  <si>
    <t>TAG Perovskia Russian 100/100 Pixie Tag</t>
  </si>
  <si>
    <t>TAG Perovskia Russian Sage 100/100 Pixie Tag DO FUL</t>
  </si>
  <si>
    <t>TAG Perovskia Russian Sage GENERIC 25/25 Portrait Tag</t>
  </si>
  <si>
    <t>TAG Perovskia Zasha 100/100 Pixie Tag DO FUL</t>
  </si>
  <si>
    <t>TAG Perovskia Zephyr Compact Blue 25/25 Portrait Tag</t>
  </si>
  <si>
    <t>TAG Persicaria Fleece Flower 100/100 Pixie Tag</t>
  </si>
  <si>
    <t>TAG Persicaria Vietnamese 100/100 Pixie Tag</t>
  </si>
  <si>
    <t>TAG Persicaria Vietnamese 25/25 Portrait Tag</t>
  </si>
  <si>
    <t>TAG Petchoa SuperCal Premium Pink Mist 100/100 Pixie Tag</t>
  </si>
  <si>
    <t>TAG Petchoa SuperCal Premium Rose Pink 100/100 Pixie Tag</t>
  </si>
  <si>
    <t>TAG Petchoa SuperCal Premium Rose Star 100/100 Pixie Tag</t>
  </si>
  <si>
    <t>TAG Petchoa SuperCal Shocking Pink 100/100 Pixie Tag</t>
  </si>
  <si>
    <t>TAG Parsley Giant Of Italy 25/25 Portrait Tag</t>
  </si>
  <si>
    <t>TAG Parsley Plain Italian 100/100 Pixie Tag</t>
  </si>
  <si>
    <t>TAG Petunia Amazonas Plum Cockatoo 100/100 Pixie Tag</t>
  </si>
  <si>
    <t>TAG Petunia Amore Fiesta 100/100 Pixie Tag</t>
  </si>
  <si>
    <t>TAG Petunia Amore Fluttering Heart 100/100 Pixie Tag</t>
  </si>
  <si>
    <t>TAG Petunia Amore Heart N Soul 100/100 Pixie Tag</t>
  </si>
  <si>
    <t>TAG Petunia Amore King Of Hearts 100/100 Pixie Tag</t>
  </si>
  <si>
    <t>TAG Petunia Amore Pink Heart 100/100 Pixie Tag</t>
  </si>
  <si>
    <t>TAG Petunia Amore Princess 100/100 Pixie Tag</t>
  </si>
  <si>
    <t>TAG Petunia Amore Purple 100/100 Pixie Tag</t>
  </si>
  <si>
    <t>TAG Petunia Amore Queen Of Hearts 100/100 Pixie Tag</t>
  </si>
  <si>
    <t>TAG Petunia Amore Series 25/25 Portrait Tag</t>
  </si>
  <si>
    <t>TAG Petunia Ball Picotee Mix 100/100 Pixie Tag</t>
  </si>
  <si>
    <t>TAG Petunia BigDeal Series 100/100 Pixie Tag</t>
  </si>
  <si>
    <t>TAG Petunia BigDeal Chocolate Cherries 50/50 Petite Portrait DO FUL</t>
  </si>
  <si>
    <t>TAG Petunia BigDeal Fingerpaint 50/50 Petite Portrait DO FUL</t>
  </si>
  <si>
    <t>TAG Petunia BigDeal Flamenco Dancer 50/50 Petite Portrait DO FUL</t>
  </si>
  <si>
    <t>TAG Petunia BigDeal Hollywood Star 50/50 Petite Portrait DO FUL</t>
  </si>
  <si>
    <t>TAG Petunia BigDeal Pinkadilly Circus 50/50 Petite Portrait DO FUL</t>
  </si>
  <si>
    <t>TAG Petunia BigDeal Roaring Raspberry 50/50 Petite Portrait DO FUL</t>
  </si>
  <si>
    <t>TAG Petunia Blue Bilingual 100/100 Pixie Tag</t>
  </si>
  <si>
    <t>TAG Petunia Blue White Bilingual 100/100 Pixie Tag</t>
  </si>
  <si>
    <t>TAG Petunia Blanket Double Series 100/100 Pixie Tag</t>
  </si>
  <si>
    <t>TAG Petunia Blanket Series 100/100 Pixie Tag</t>
  </si>
  <si>
    <t>TAG Petunia Blue GENERIC 100/100 Pixie Tag</t>
  </si>
  <si>
    <t>TAG Petunia Blue Vein GENERIC 100/100 Pixie Tag</t>
  </si>
  <si>
    <t>TAG Petunia Blueberry Lime Jam 25/25 Portrait Tag</t>
  </si>
  <si>
    <t>TAG Petunia Boom HD Series 100/100 Pixie Tag</t>
  </si>
  <si>
    <t>TAG Petunia Bravo Sky Blue 100/100 Pixie Tag</t>
  </si>
  <si>
    <t>TAG Petunia Bubbles Series 100/100 Pixie Tag</t>
  </si>
  <si>
    <t>TAG Petunia Burgundy Bilingual 100/100 Pixie Tag</t>
  </si>
  <si>
    <t>TAG Petunia Burgundy GENERIC 100/100 Pixie Tag</t>
  </si>
  <si>
    <t>TAG Petunia SuperCal Premium Bonfire Mix 100/100 Pixie Tag</t>
  </si>
  <si>
    <t>TAG Petunia SuperCal Premium Caramel Yellow 100/100 Pixie Tag</t>
  </si>
  <si>
    <t>TAG Petunia SuperCal Premium French Vanilla 100/100 Pixie Tag</t>
  </si>
  <si>
    <t>TAG Petunia Caliburst Yellow 100/100 Pixie Tag</t>
  </si>
  <si>
    <t>TAG Petunia Capella Baby Pink 100/100 Pixie Tag</t>
  </si>
  <si>
    <t>TAG Petunia Capella Burgundy 100/100 Pixie Tag</t>
  </si>
  <si>
    <t>TAG Petunia Capella Cherry Vanilla 100/100 Pixie Tag</t>
  </si>
  <si>
    <t>TAG Petunia Capella Coral 100/100 Pixie Tag</t>
  </si>
  <si>
    <t>TAG Petunia Capella Fuchsia Lace 100/100 Pixie Tag</t>
  </si>
  <si>
    <t>TAG Petunia Capella Hello Yellow 100/100 Pixie Tag</t>
  </si>
  <si>
    <t>TAG Petunia Capella Indigo 100/100 Pixie Tag</t>
  </si>
  <si>
    <t>TAG Petunia Capella Magenta Diamond 100/100 Pixie Tag</t>
  </si>
  <si>
    <t>TAG Petunia Capella Mulberry 100/100 Pixie Tag</t>
  </si>
  <si>
    <t>TAG Petunia Capella Neon Pink 100/100 Pixie Tag</t>
  </si>
  <si>
    <t>TAG Petunia Capella Pink Lace 100/100 Pixie Tag</t>
  </si>
  <si>
    <t>TAG Petunia Capella Pink Morn 100/100 Pixie Tag</t>
  </si>
  <si>
    <t>TAG Petunia Capella Purple 100/100 Pixie Tag</t>
  </si>
  <si>
    <t>TAG Petunia Capella Purple Veins 100/100 Pixie Tag</t>
  </si>
  <si>
    <t>TAG Petunia Capella Rim Fuchsia 100/100 Pixie Tag</t>
  </si>
  <si>
    <t>TAG Petunia Capella Rim Raspberry 100/100 Pixie Tag</t>
  </si>
  <si>
    <t>TAG Petunia Capella Rose 100/100 Pixie Tag</t>
  </si>
  <si>
    <t>TAG Petunia Capella Ruby Red 100/100 Pixie Tag</t>
  </si>
  <si>
    <t>TAG Petunia Capella Salmon 100/100 Pixie Tag</t>
  </si>
  <si>
    <t>TAG Petunia Capella Sangria 100/100 Pixie Tag</t>
  </si>
  <si>
    <t>TAG Petunia Capella Soft Yellow 100/100 Pixie Tag</t>
  </si>
  <si>
    <t>TAG Petunia Capella White 100/100 Pixie Tag</t>
  </si>
  <si>
    <t>TAG Petunia Carpet Blue 100/100 Pixie Tag</t>
  </si>
  <si>
    <t>TAG Petunia Carpet Blue Lace 100/100 Pixie Tag</t>
  </si>
  <si>
    <t>TAG Petunia Carpet Blue Star 100/100 Pixie Tag</t>
  </si>
  <si>
    <t>TAG Petunia Carpet Bright Red 100/100 Pixie Tag</t>
  </si>
  <si>
    <t>TAG Petunia Carpet Butter Cream 100/100 Pixie Tag</t>
  </si>
  <si>
    <t>TAG Petunia Carpet Lilac 100/100 Pixie Tag</t>
  </si>
  <si>
    <t>TAG Petunia Carpet Mix 100/100 Pixie Tag</t>
  </si>
  <si>
    <t>TAG Petunia Carpet Neptune Mix 100/100 Pixie Tag</t>
  </si>
  <si>
    <t>TAG Petunia Carpet Pink 100/100 Pixie Tag</t>
  </si>
  <si>
    <t>TAG Petunia Carpet Plum 100/100 Pixie Tag</t>
  </si>
  <si>
    <t>TAG Petunia Carpet Red 100/100 Pixie Tag</t>
  </si>
  <si>
    <t>TAG Petunia Carpet Rose Star 100/100 Pixie Tag</t>
  </si>
  <si>
    <t>TAG Petunia Carpet Sky Blue 100/100 Pixie Tag</t>
  </si>
  <si>
    <t>TAG Petunia Carpet True Blue 100/100 Pixie Tag</t>
  </si>
  <si>
    <t>TAG Petunia Carpet Velvet 100/100 Pixie Tag</t>
  </si>
  <si>
    <t>TAG Petunia Carpet White 100/100 Pixie Tag</t>
  </si>
  <si>
    <t>TAG Petunia Double Cascade Orchid Mist 100/100 Pixie Tag</t>
  </si>
  <si>
    <t>TAG Petunia Double Cascade Valentine 100/100 Pixie Tag</t>
  </si>
  <si>
    <t>TAG Petunia Cascade Blue 100/100 Pixie Tag</t>
  </si>
  <si>
    <t>TAG Petunia Double Cascade Blue 100/100 Pixie Tag</t>
  </si>
  <si>
    <t>TAG Petunia Double Cascade Burgundy 100/100 Pixie Tag</t>
  </si>
  <si>
    <t>TAG Petunia Double Cascade Mix 100/100 Pixie Tag</t>
  </si>
  <si>
    <t>TAG Petunia Double Cascade Pink 100/100 Pixie Tag</t>
  </si>
  <si>
    <t>TAG Petunia Cascade Mix 100/100 Pixie Tag</t>
  </si>
  <si>
    <t>TAG Petunia Cascade Pink 100/100 Pixie Tag</t>
  </si>
  <si>
    <t>TAG Petunia Cascade Red 100/100 Pixie Tag</t>
  </si>
  <si>
    <t>TAG Petunia Cascade White 100/100 Pixie Tag</t>
  </si>
  <si>
    <t>TAG Petunia Cascadias Arizona Sky 100/100 Pixie Tag</t>
  </si>
  <si>
    <t>TAG Petunia Cascadias Autumn Mystery 100/100 Pixie Tag</t>
  </si>
  <si>
    <t>TAG Petunia Cascadias Bicolor Cabernet 100/100 Pixie Tag</t>
  </si>
  <si>
    <t>TAG Petunia Cascadias Blue Omri 100/100 Pixie Tag</t>
  </si>
  <si>
    <t>TAG Petunia Cascadias Chili Red 100/100 Pixie Tag</t>
  </si>
  <si>
    <t>TAG Petunia Cascadias Fantasy Hot Pink 100/100 Pixie Tag</t>
  </si>
  <si>
    <t>TAG Petunia Cascadias Fuchsia 100/100 Pixie Tag</t>
  </si>
  <si>
    <t>TAG Petunia Cascadias Fuchsia Gem 100/100 Pixie Tag</t>
  </si>
  <si>
    <t>TAG Petunia Cascadias Hint Of Lime 100/100 Pixie Tag</t>
  </si>
  <si>
    <t>TAG Petunia Cascadias Iceberg 100/100 Pixie Tag</t>
  </si>
  <si>
    <t>TAG Petunia Cascadias Indian Summer 100/100 Pixie Tag</t>
  </si>
  <si>
    <t>TAG Petunia Cascadias Indigo 100/100 Pixie Tag</t>
  </si>
  <si>
    <t>TAG Petunia Cascadias Lilac Frost 100/100 Pixie Tag</t>
  </si>
  <si>
    <t>TAG Petunia Cascadias Passion 100/100 Pixie Tag</t>
  </si>
  <si>
    <t>TAG Petunia Cascadias Pitaya 100/100 Pixie Tag</t>
  </si>
  <si>
    <t>TAG Petunia Cascadias Purple Gem 100/100 Pixie Tag</t>
  </si>
  <si>
    <t>TAG Petunia Cascadias Purple Ice 100/100 Pixie Tag</t>
  </si>
  <si>
    <t>TAG Petunia Cascadias Red 100/100 Pixie Tag</t>
  </si>
  <si>
    <t>TAG Petunia Cascadias Rim Cherry 100/100 Pixie Tag</t>
  </si>
  <si>
    <t>TAG Petunia Cascadias Rim Chianti 100/100 Pixie Tag</t>
  </si>
  <si>
    <t>TAG Petunia Cascadias Rim Magenta 100/100 Pixie Tag</t>
  </si>
  <si>
    <t>TAG Petunia Cascadias Rim Violet 100/100 Pixie Tag</t>
  </si>
  <si>
    <t>TAG Petunia Cascadias Rose 100/100 Pixie Tag</t>
  </si>
  <si>
    <t>TAG Petunia Cascadias Series 100/100 Pixie Tag</t>
  </si>
  <si>
    <t>TAG Petunia Cascadias Vibrant Pink 100/100 Pixie Tag</t>
  </si>
  <si>
    <t>TAG Petunia Cascading GENERIC 100/100 Hang Tag</t>
  </si>
  <si>
    <t>TAG Petunia Celebrity Blue 100/100 Pixie Tag</t>
  </si>
  <si>
    <t>TAG Petunia Celebrity Blue Ice 100/100 Pixie Tag</t>
  </si>
  <si>
    <t>TAG Petunia Celebrity Burgundy Frost 100/100 Pixie Tag</t>
  </si>
  <si>
    <t>TAG Petunia Celebrity Chiffon Morn 100/100 Pixie Tag</t>
  </si>
  <si>
    <t>TAG Petunia Celebrity Mix 100/100 Pixie Tag</t>
  </si>
  <si>
    <t>TAG Petunia Celebrity Pink Morn 100/100 Pixie Tag</t>
  </si>
  <si>
    <t>TAG Petunia Celebrity Red 100/100 Pixie Tag</t>
  </si>
  <si>
    <t>TAG Petunia Celebrity Red Morn 100/100 Pixie Tag</t>
  </si>
  <si>
    <t>TAG Petunia Celebrity Sky Blue 100/100 Pixie Tag</t>
  </si>
  <si>
    <t>TAG Petunia Celebrity Salmon 100/100 Pixie Tag</t>
  </si>
  <si>
    <t>TAG Petunia Celebrity Strawberry Ice 100/100 Pixie Tag</t>
  </si>
  <si>
    <t>TAG Petunia Celebrity Watercolor Mix 100/100 Pixie Tag</t>
  </si>
  <si>
    <t>TAG Petunia Celebrity White 100/100 Pixie Tag</t>
  </si>
  <si>
    <t>TAG Petunia Celebrity Yellow 100/100 Pixie Tag</t>
  </si>
  <si>
    <t>TAG Petunia Veranda Compact Sugar Plum 100/100 Pixie Tag</t>
  </si>
  <si>
    <t>TAG Petunia Combo Blue 100/100 Pixie Tag</t>
  </si>
  <si>
    <t>TAG Petunia Constellation Aries 100/100 Pixie Tag</t>
  </si>
  <si>
    <t>TAG Petunia Constellation Aries 50/50 Petite Portrait DO FUL</t>
  </si>
  <si>
    <t>TAG Petunia Constellation Gemini 100/100 Pixie Tag</t>
  </si>
  <si>
    <t>TAG Petunia Constellation Gemini 50/50 Petite Portrait DO FUL</t>
  </si>
  <si>
    <t>TAG Petunia Constellation Magenta Comet 100/100 Pixie Tag</t>
  </si>
  <si>
    <t>TAG Petunia Constellation Pyxis 50/50 Petite Portrait DO FUL</t>
  </si>
  <si>
    <t>TAG Petunia Constellation Red Sky 100/100 Pixie Tag</t>
  </si>
  <si>
    <t>TAG Petunia Constellation Supernova 100/100 Pixie Tag</t>
  </si>
  <si>
    <t>TAG Petunia Constellation Virgo 100/100 Pixie Tag</t>
  </si>
  <si>
    <t>TAG Petunia Constellation Virgo 50/50 Petite Portrait DO FUL</t>
  </si>
  <si>
    <t>TAG Petunia Crazytunia Amarena Cream 100/100 Pixie Tag</t>
  </si>
  <si>
    <t>TAG Petunia Crazytunia Amarena Cream 50/50 Petite Portrait DO FUL</t>
  </si>
  <si>
    <t>TAG Petunia Crazytunia Asterisk 100/100 Pixie Tag</t>
  </si>
  <si>
    <t>TAG Petunia Crazytunia Berry Frappe 100/100 Pixie Tag</t>
  </si>
  <si>
    <t>TAG Petunia Crazytunia Berry Frappe 50/50 Petite Portrait DO FUL</t>
  </si>
  <si>
    <t>TAG Petunia Crazytunia Bitter Lemon 100/100 Pixie Tag</t>
  </si>
  <si>
    <t>TAG Petunia Crazytunia Blue Ice 100/100 Pixie Tag</t>
  </si>
  <si>
    <t>TAG Petunia Crazytunia Blue Picotee 100/100 Pixie Tag</t>
  </si>
  <si>
    <t>TAG Petunia Crazytunia Black Mamba 50/50 Petite Portrait DO FUL</t>
  </si>
  <si>
    <t>TAG Petunia Crazytunia Black And White 50/50 Petite Portrait DO FUL</t>
  </si>
  <si>
    <t>TAG Petunia Crazytunia Blackberry Jam 50/50 Petite Portrait DO FUL</t>
  </si>
  <si>
    <t>TAG Petunia Crazytunia Blackberry Mojito 50/50 Petite Portrait DO FUL</t>
  </si>
  <si>
    <t>TAG Petunia Crazytunia Black Mamba 100/100 Pixie Tag</t>
  </si>
  <si>
    <t>TAG Petunia Crazytunia Black And White 100/100 Pixie Tag</t>
  </si>
  <si>
    <t>TAG Petunia Crazytunia Blackberry Cheesecake 100/100 Pixie Tag</t>
  </si>
  <si>
    <t>TAG Petunia Crazytunia Blackberry Cheesecake 50/50 Petite Portrait DO FUL</t>
  </si>
  <si>
    <t>TAG Petunia Crazytunia Blackberry Jam 100/100 Pixie Tag</t>
  </si>
  <si>
    <t>TAG Petunia Crazytunia Blackberry Mojito 100/100 Pixie Tag</t>
  </si>
  <si>
    <t>TAG Petunia Crazytunia Blue Ice 50/50 Petite Portrait DO FUL</t>
  </si>
  <si>
    <t>TAG Petunia Crazytunia Blue Picotee 50/50 Petite Portrait DO FUL</t>
  </si>
  <si>
    <t>TAG Petunia Crazytunia Cardinal Bl 100/100 Pixie Tag</t>
  </si>
  <si>
    <t>TAG Petunia Crazytunia Cherry Cheesecake 50/50 Petite Portrait DO FUL</t>
  </si>
  <si>
    <t>TAG Petunia Crazytunia Cherry Jublee 100/100 Pixie Tag</t>
  </si>
  <si>
    <t>TAG Petunia Crazytunia Cherry Jublee 50/50 Petite Portrait DO FUL</t>
  </si>
  <si>
    <t>TAG Petunia Crazytunia Citrus Hill 100/100 Pixie Tag</t>
  </si>
  <si>
    <t>TAG Petunia Crazytunia Cosmic Pink 100/100 Pixie Tag</t>
  </si>
  <si>
    <t>TAG Petunia Crazytunia Cosmic Pink 50/50 Petite Portrait DO FUL</t>
  </si>
  <si>
    <t>TAG Petunia Crazytunia Cosmic Purple 100/100 Pixie Tag</t>
  </si>
  <si>
    <t>TAG Petunia Crazytunia Cosmic Purple 50/50 Petite Portrait DO FUL</t>
  </si>
  <si>
    <t>TAG Petunia Crazytunia Cosmic Violet 100/100 Pixie Tag</t>
  </si>
  <si>
    <t>TAG Petunia Crazytunia Cosmic Violet 50/50 Pixie TAG DO FUL</t>
  </si>
  <si>
    <t>TAG Petunia Crazytunia Firecracker 100/100 Pixie Tag</t>
  </si>
  <si>
    <t>TAG Petunia Crazytunia French Kiss 100/100 Pixie Tag</t>
  </si>
  <si>
    <t>TAG Petunia Crazytunia Frisky Orange 100/100 Pixie Tag</t>
  </si>
  <si>
    <t>TAG Petunia Crazytunia Frisky Purple 100/100 Pixie Tag</t>
  </si>
  <si>
    <t>TAG Petunia Crazytunia Frisky Purple 50/50 Pixie TAG DO FUL</t>
  </si>
  <si>
    <t>TAG Petunia Crazytunia Frisky Red 100/100 Pixie Tag</t>
  </si>
  <si>
    <t>TAG Petunia Crazytunia Frisky Red 50/50 Petite Portrait DO FUL</t>
  </si>
  <si>
    <t>TAG Petunia Crazytunia Frisky Violet 100/100 Pixie Tag</t>
  </si>
  <si>
    <t>TAG Petunia Crazytunia Frisky Violet 50/50 Petite Portrait DO FUL</t>
  </si>
  <si>
    <t>TAG Petunia Crazytunia Gingersnap 100/100 Pixie Tag</t>
  </si>
  <si>
    <t>TAG Petunia Crazytunia Golden Purple Eye 100/100 Pixie Tag</t>
  </si>
  <si>
    <t>TAG Petunia Crazytunia Golden Rose Eye 100/100 Pixie Tag</t>
  </si>
  <si>
    <t>TAG Petunia Crazytunia Iced Berry 100/100 Pixie Tag</t>
  </si>
  <si>
    <t>TAG Petunia Crazytunia Iced Berry 50/50 Petite Portrait DO FUL</t>
  </si>
  <si>
    <t>TAG Petunia Crazytunia Kermit Purple 100/100 Pixie Tag</t>
  </si>
  <si>
    <t>TAG Petunia Crazytunia Kermit Rose 100/100 Pixie Tag</t>
  </si>
  <si>
    <t>TAG Petunia Crazytunia Knight Rider 100/100 Pixie Tag</t>
  </si>
  <si>
    <t>TAG Petunia Crazytunia Knight Rider 50/50 Petite Portrait DO FUL</t>
  </si>
  <si>
    <t>TAG Petunia Crazytunia Lemon Burst 50/50 Petite Portrait DO FUL</t>
  </si>
  <si>
    <t>TAG Petunia Crazytunia Lighthouse Pink 100/100 Pixie Tag</t>
  </si>
  <si>
    <t>TAG Petunia Crazytunia Lighthouse Pink 50/50 Petite Portrait DO FUL</t>
  </si>
  <si>
    <t>TAG Petunia Crazytunia Lucky Lilac 100/100 Pixie Tag</t>
  </si>
  <si>
    <t>TAG Petunia Crazytunia Lucky Lilac 50/50 Petite Portrait DO FUL</t>
  </si>
  <si>
    <t>TAG Petunia Crazytunia Magenta Storm 50/50 Petite Portrait DO FUL</t>
  </si>
  <si>
    <t>TAG Petunia Crazytunia Magnterrific 100/100 Pixie Tag</t>
  </si>
  <si>
    <t>TAG Petunia Crazytunia Mandeville 100/100 Pixie Tag</t>
  </si>
  <si>
    <t>TAG Petunia Crazytunia Mandeville 50/50 Petite Portrait DO FUL</t>
  </si>
  <si>
    <t>TAG Petunia Crazytunia Magenta Storm 100/100 Pixie Tag</t>
  </si>
  <si>
    <t>TAG Petunia Crazytunia Mahogany Queen 100/100 Pixie Tag</t>
  </si>
  <si>
    <t>TAG Petunia Crazytunia Moonstruck 100/100 Pixie Tag</t>
  </si>
  <si>
    <t>TAG Petunia Crazytunia Moonstruck 50/50 Petite Portrait DO FUL</t>
  </si>
  <si>
    <t>TAG Petunia Crazytunia Nightwatch 100/100 Pixie Tag</t>
  </si>
  <si>
    <t>TAG Petunia Crazytunia Nightwatch 50/50 Petite Portrait DO FUL</t>
  </si>
  <si>
    <t>TAG Petunia Crazytunia Passion Punch 100/100 Pixie Tag</t>
  </si>
  <si>
    <t>TAG Petunia Crazytunia Passion Punch 50/50 Petite Portrait DO FUL</t>
  </si>
  <si>
    <t>TAG Petunia Crazytunia Patrick Star 50/50 Petite Portrait DO FUL</t>
  </si>
  <si>
    <t>TAG Petunia Crazytunia Peach Bellini 100/100 Pixie Tag</t>
  </si>
  <si>
    <t>TAG Petunia Crazytunia Peach Bellini 50/50 Petite Portrait DO FUL</t>
  </si>
  <si>
    <t>TAG Petunia Crazytunia Pink Bride 50/50 Petite Portrait DO FUL</t>
  </si>
  <si>
    <t>TAG Petunia Crazytunia Pink Frills 50/50 Petite Portrait DO FUL</t>
  </si>
  <si>
    <t>TAG Petunia Crazytunia Pinkadelic 100/100 Pixie Tag</t>
  </si>
  <si>
    <t>TAG Petunia Crazytunia Pink Bride 100/100 Pixie Tag</t>
  </si>
  <si>
    <t>TAG Petunia Crazytunia Pink Flamingo 100/100 Pixie Tag</t>
  </si>
  <si>
    <t>TAG Petunia Crazytunia Pink Flamingo 50/50 Petite Portrait DO FUL</t>
  </si>
  <si>
    <t>TAG Petunia Crazytunia Pink Frills 100/100 Pixie Tag</t>
  </si>
  <si>
    <t>TAG Petunia Crazytunia Plumbelievable 100/100 Pixie Tag</t>
  </si>
  <si>
    <t>TAG Petunia Crazytunia Plumtastic 100/100 Pixie Tag</t>
  </si>
  <si>
    <t>TAG Petunia Crazytunia Pulse 100/100 Pixie Tag</t>
  </si>
  <si>
    <t>TAG Petunia Crazytunia Pulse 50/50 Petite Portrait DO FUL</t>
  </si>
  <si>
    <t>TAG Petunia Crazytunia Purple Picotee 100/100 Pixie Tag</t>
  </si>
  <si>
    <t>TAG Petunia Crazytunia Purple Storm 100/100 Pixie Tag</t>
  </si>
  <si>
    <t>TAG Petunia Crazytunia Purple Storm 50/50 Petite Portrait DO FUL</t>
  </si>
  <si>
    <t>TAG Petunia Crazytunia Raspberry Lemonade 100/100 Pixie Tag</t>
  </si>
  <si>
    <t>TAG Petunia Crazytunia Razzmatazz 100/100 Pixie Tag</t>
  </si>
  <si>
    <t>TAG Petunia Crazytunia Razzmatazz 50/50 Petite Portrait DO FUL</t>
  </si>
  <si>
    <t>TAG Petunia Crazytunia Red Blues 100/100 Pixie Tag</t>
  </si>
  <si>
    <t>TAG Petunia Crazytunia Red Blues 50/50 Petite Portrait DO FUL</t>
  </si>
  <si>
    <t>TAG Petunia Crazytunia Rose Gold 100/100 Pixie Tag</t>
  </si>
  <si>
    <t>TAG Petunia Crazytunia Secred Star 100/100 Pixie Tag</t>
  </si>
  <si>
    <t>TAG Petunia Crazytunia Series 100/100 Pixie Tag</t>
  </si>
  <si>
    <t>TAG Petunia Crazytunia Spider Girl 100/100 Pixie Tag</t>
  </si>
  <si>
    <t>TAG Petunia Crazytunia Star Fruit 100/100 Pixie Tag</t>
  </si>
  <si>
    <t>TAG Petunia Crazytunia Star Fruit 50/50 Petite Portrait DO FUL</t>
  </si>
  <si>
    <t>TAG Petunia Crazytunia Star Jubilee 100/100 Pixie Tag</t>
  </si>
  <si>
    <t>TAG Petunia Crazytunia Sugar Beet 100/100 Pixie Tag</t>
  </si>
  <si>
    <t>TAG Petunia Crazytunia Sugar Beet 50/50 Pixie TAG DO FUL</t>
  </si>
  <si>
    <t>TAG Petunia Crazytunia Terracotta 100/100 Pixie Tag</t>
  </si>
  <si>
    <t>TAG Petunia Crazytunia Terracotta 50/50 Petite Portrait DO FUL</t>
  </si>
  <si>
    <t>TAG Petunia Crazytunia Tiki Torch 100/100 Pixie Tag</t>
  </si>
  <si>
    <t>TAG Petunia Crazytunia Tiki Torch 50/50 Petite Portrait DO FUL</t>
  </si>
  <si>
    <t>TAG Petunia Crazytunia Ultra Cardinal Blue 50/50 Petite Portrait DO FUL</t>
  </si>
  <si>
    <t>TAG Petunia Crazytunia Ultra Violet 100/100 Pixie Tag</t>
  </si>
  <si>
    <t>TAG Petunia Daddy Blue 100/100 Pixie Tag</t>
  </si>
  <si>
    <t>TAG Petunia Daddy Mix 100/100 Pixie Tag</t>
  </si>
  <si>
    <t>TAG Petunia Daddy Orchid 100/100 Pixie Tag</t>
  </si>
  <si>
    <t>TAG Petunia Daddy Peppermint 100/100 Pixie Tag</t>
  </si>
  <si>
    <t>TAG Petunia Daddy Pink 100/100 Pixie Tag</t>
  </si>
  <si>
    <t>TAG Petunia Daddy Strawberry 100/100 Pixie Tag</t>
  </si>
  <si>
    <t>TAG Petunia Daddy Sugar 100/100 Pixie Tag</t>
  </si>
  <si>
    <t>TAG Petunia Daddy Sugar Classic 100/100 Pixie Tag</t>
  </si>
  <si>
    <t>TAG Petunia Damask Series 100/100 Pixie Tag SF</t>
  </si>
  <si>
    <t>TAG Petunia Double Stuff Bordeaux Star 50/50 Pixie TAG DO FUL</t>
  </si>
  <si>
    <t>TAG Petunia Double Stuff Burgundy Star 50/50 Pixie TAG DO FUL</t>
  </si>
  <si>
    <t>TAG Petunia Double Stuff Violet Star 50/50 Pixie TAG DO FUL</t>
  </si>
  <si>
    <t>TAG Petunia Debonair Black Cherry 100/100 Pixie Tag</t>
  </si>
  <si>
    <t>TAG Petunia Debonair Dusty Rose 100/100 Pixie Tag</t>
  </si>
  <si>
    <t>TAG Petunia Debonair Lime Green 100/100 Pixie Tag</t>
  </si>
  <si>
    <t>TAG Petunia Dekko Banana 50/50 Petite Portrait SF FUL</t>
  </si>
  <si>
    <t>TAG Petunia Dekko Blue 50/50 Petite Portrait SF FUL</t>
  </si>
  <si>
    <t>TAG Petunia Dekko Deep Lavender Vein 50/50 Petite Portrait SF FUL</t>
  </si>
  <si>
    <t>TAG Petunia Dekko Lavender Eye 50/50 Petite Portrait SF FUL</t>
  </si>
  <si>
    <t>TAG Petunia Dekko Maxx Pink 50/50 Pixie Tag SF FUL</t>
  </si>
  <si>
    <t>TAG Petunia Dekko Pinwheel Purple 50/50 Pixie Tag SF FUL</t>
  </si>
  <si>
    <t>TAG Petunia Dekko Purple 50/50 Petite Portrait SF FUL</t>
  </si>
  <si>
    <t>TAG Petunia Dekko Red 50/50 Petite Portrait SF FUL</t>
  </si>
  <si>
    <t>TAG Petunia Dekko Rose Vein 50/50 Pixie Tag SF FUL</t>
  </si>
  <si>
    <t>TAG Petunia Dekko Sky Blue 50/50 Petite Portrait SF FUL</t>
  </si>
  <si>
    <t>TAG Petunia Dekko Sorbet 50/50 Petite Portrait SF FUL</t>
  </si>
  <si>
    <t>TAG Petunia Dekko Star Coral 50/50 Petite Portrait SF FUL</t>
  </si>
  <si>
    <t>TAG Petunia Dekko Star Rose 50/50 Petite Portrait SF FUL</t>
  </si>
  <si>
    <t>TAG Petunia Dekko White 50/50 Petite Portrait SF FUL</t>
  </si>
  <si>
    <t>TAG Petunia Designer Series 100/100 Pixie Tag</t>
  </si>
  <si>
    <t>TAG Petunia Discoball Series 100/100 Pixie Tag</t>
  </si>
  <si>
    <t>TAG Petunia Double Blue And Purple GENERIC 100/100 Pixie Tag</t>
  </si>
  <si>
    <t>TAG Petunia Double Mix GENERIC 100/100 Pixie Tag</t>
  </si>
  <si>
    <t>TAG Petunia Double Pink And Rose GENERIC 100/100 Pixie Tag</t>
  </si>
  <si>
    <t>TAG Petunia Double Red GENERIC 100/100 Pixie Tag</t>
  </si>
  <si>
    <t>TAG Petunia Double Red And White GENERIC 100/100 Pixie Tag</t>
  </si>
  <si>
    <t>TAG Petunia Double Stuff Series 100/100 Pixie Tag</t>
  </si>
  <si>
    <t>TAG Petunia Dreams Appleblossom 100/100 Pixie Tag</t>
  </si>
  <si>
    <t>TAG Petunia Dreams Burgundy 100/100 Pixie Tag</t>
  </si>
  <si>
    <t>TAG Petunia Dreams Burgundy Picotee 100/100 Pixie Tag</t>
  </si>
  <si>
    <t>TAG Petunia Dreams Coral Morn 100/100 Pixie Tag</t>
  </si>
  <si>
    <t>TAG Petunia Dreams Midnight 100/100 Pixie Tag</t>
  </si>
  <si>
    <t>TAG Petunia Dreams Mix 100/100 Pixie Tag</t>
  </si>
  <si>
    <t>TAG Petunia Dreams Neon Rose 100/100 Pixie Tag</t>
  </si>
  <si>
    <t>TAG Petunia Dreams Patriot Mix 100/100 Pixie Tag</t>
  </si>
  <si>
    <t>TAG Petunia Dreams Pink 100/100 Pixie Tag</t>
  </si>
  <si>
    <t>TAG Petunia Dreams Red 100/100 Pixie Tag</t>
  </si>
  <si>
    <t>TAG Petunia Dreams Red Picotee 100/100 Pixie Tag</t>
  </si>
  <si>
    <t>TAG Petunia Dreams Rose 100/100 Pixie Tag</t>
  </si>
  <si>
    <t>TAG Petunia Dreams Rose Morn 100/100 Pixie Tag</t>
  </si>
  <si>
    <t>TAG Petunia Dreams Rose Picotee 100/100 Pixie Tag</t>
  </si>
  <si>
    <t>TAG Petunia Dreams Salmon 100/100 Pixie Tag</t>
  </si>
  <si>
    <t>TAG Petunia Dreams Series 100/100 Pixie Tag</t>
  </si>
  <si>
    <t>TAG Petunia Dreams Sky Blue 100/100 Pixie Tag</t>
  </si>
  <si>
    <t>TAG Petunia Dreams Waterfall Mix 100/100 Pixie Tag</t>
  </si>
  <si>
    <t>TAG Petunia Dreams White 100/100 Pixie Tag</t>
  </si>
  <si>
    <t>TAG Petunia Dreams Wild Rose Mix 100/100 Pixie Tag</t>
  </si>
  <si>
    <t>TAG Petunia Durabloom Blue Vein 50/50 Petite Portrait DO FUL</t>
  </si>
  <si>
    <t>TAG Petunia Durabloom Electric Lilac 50/50 Petite Portrait DO FUL</t>
  </si>
  <si>
    <t>TAG Petunia Durabloom Hot Pink 50/50 Petite Portrait DO FUL</t>
  </si>
  <si>
    <t>TAG Petunia Durabloom Purple 50/50 Petite Portrait DO FUL</t>
  </si>
  <si>
    <t>TAG Petunia Durabloom Red 50/50 Petite Portrait DO FUL</t>
  </si>
  <si>
    <t>TAG Petunia Durabloom Royal Pink 50/50 Petite Portrait DO FUL</t>
  </si>
  <si>
    <t>TAG Petunia Durabloom Silver 50/50 Petite Portrait DO FUL</t>
  </si>
  <si>
    <t>TAG Petunia Durabloom Soft Pink 50/50 Petite Portrait DO FUL</t>
  </si>
  <si>
    <t>TAG Petunia Durabloom Watermelon 50/50 Petite Portrait DO FUL</t>
  </si>
  <si>
    <t>TAG Petunia Durabloom White 50/50 Petite Portrait DO FUL</t>
  </si>
  <si>
    <t>TAG Petunia Durabloom Yellow 50/50 Petite Portrait DO FUL</t>
  </si>
  <si>
    <t>TAG Petunia Duvet Blue 100/100 Pixie Tag SF</t>
  </si>
  <si>
    <t>TAG Petunia Duvet Burgundy 100/100 Pixie Tag SF</t>
  </si>
  <si>
    <t>TAG Petunia Duvet Mix 100/100 Pixie Tag SF</t>
  </si>
  <si>
    <t>TAG Petunia Duvet Pink 100/100 Pixie Tag SF</t>
  </si>
  <si>
    <t>TAG Petunia Duvet Red 100/100 Pixie Tag SF</t>
  </si>
  <si>
    <t>TAG Petunia Duvet Salmon 100/100 Pixie Tag SF</t>
  </si>
  <si>
    <t>TAG Petunia Duvet White 100/100 Pixie Tag SF</t>
  </si>
  <si>
    <t>TAG Petunia E3 Easy Wave Blue 100/100 Pixie Tag</t>
  </si>
  <si>
    <t>TAG Petunia E3 Easy Wave Coral 100/100 Pixie Tag</t>
  </si>
  <si>
    <t>TAG Petunia E3 Easy Wave Mix 100/100 Pixie Tag</t>
  </si>
  <si>
    <t>TAG Petunia E3 Easy Wave Pink 100/100 Pixie Tag</t>
  </si>
  <si>
    <t>TAG Petunia E3 Easy Wave Pink Cosmo 100/100 Pixie Tag</t>
  </si>
  <si>
    <t>TAG Petunia E3 Easy Wave Peppermint Mix 100/100 Pixie Tag</t>
  </si>
  <si>
    <t>TAG Petunia E3 Easy Wave Red 100/100 Pixie Tag</t>
  </si>
  <si>
    <t>TAG Petunia E3 Easy Wave Red White And Blue Mix 100/100 Pixie Tag</t>
  </si>
  <si>
    <t>TAG Petunia E3 Easy Wave Rose Morn 100/100 Pixie Tag</t>
  </si>
  <si>
    <t>TAG Petunia E3 Easy Wave Sky Blue 100/100 Pixie Tag</t>
  </si>
  <si>
    <t>TAG Petunia E3 Easy Wave Sweet Taffy Mix 100/100 Pixie Tag</t>
  </si>
  <si>
    <t>TAG Petunia E3 Easy Wave White 100/100 Pixie Tag</t>
  </si>
  <si>
    <t>TAG Petunia E3 Easy Wave Yellow 100/100 Pixie Tag</t>
  </si>
  <si>
    <t>TAG Petunia Easy Wave Beachcomber Mix 100/100 Pixie Tag</t>
  </si>
  <si>
    <t>TAG Petunia Easy Wave Beachcomber Mix 50/50 Mini Portrait Tag</t>
  </si>
  <si>
    <t>TAG Petunia Easy Wave Blue 100/100 Pixie Tag</t>
  </si>
  <si>
    <t>TAG Petunia Easy Wave Blue 25/25 Portrait Tag</t>
  </si>
  <si>
    <t>TAG Petunia Easy Wave Blue 50/50 Mini Portrait Tag</t>
  </si>
  <si>
    <t>TAG Petunia Easy Wave Burgundy Star 100/100 Pixie Tag</t>
  </si>
  <si>
    <t>TAG Petunia Easy Wave Burgundy Star 50/50 Mini Portrait Tag</t>
  </si>
  <si>
    <t>TAG Petunia Easy Wave Coral Reef 100/100 Pixie Tag</t>
  </si>
  <si>
    <t>TAG Petunia Easy Wave Coral Reef 50/50 Mini Portrait Tag</t>
  </si>
  <si>
    <t>TAG Petunia Easy Wave Formula Mix 100/100 Pixie Tag</t>
  </si>
  <si>
    <t>TAG Petunia Easy Wave Formula Mix 50/50 Mini Portrait Tag</t>
  </si>
  <si>
    <t>TAG Petunia Easy Wave Gelato Mix 100/100 Pixie Tag</t>
  </si>
  <si>
    <t>TAG Petunia Easy Wave Great Lakes Mix 100/100 Pixie Tag</t>
  </si>
  <si>
    <t>TAG Petunia Easy Wave Great Lakes Mix 50/50 Mini Portrait Tag</t>
  </si>
  <si>
    <t>TAG Petunia Easy Wave Lavender Sky Blue 100/100 Pixie Tag</t>
  </si>
  <si>
    <t>TAG Petunia Easy Wave Navy Velour 100/100 Pixie Tag</t>
  </si>
  <si>
    <t>TAG Petunia Easy Wave Neon Rose 100/100 Pixie Tag</t>
  </si>
  <si>
    <t>TAG Petunia Easy Wave Neon Rose 50/50 Mini Portrait Tag</t>
  </si>
  <si>
    <t>TAG Petunia Easy Wave Opposites Attract Mix 100/100 Pixie Tag</t>
  </si>
  <si>
    <t>TAG Petunia Easy Wave Pink 100/100 Pixie Tag</t>
  </si>
  <si>
    <t>TAG Petunia Easy Wave Pink 25/25 Portrait Tag</t>
  </si>
  <si>
    <t>TAG Petunia Easy Wave Pink 50/50 Mini Portrait Tag</t>
  </si>
  <si>
    <t>TAG Petunia Easy Wave Pink Passion 100/100 Pixie Tag</t>
  </si>
  <si>
    <t>TAG Petunia Easy Wave Pink Passion 50/50 Mini Portrait Tag</t>
  </si>
  <si>
    <t>TAG Petunia Easy Wave Plum Pudding Mix 100/100 Pixie Tag</t>
  </si>
  <si>
    <t>TAG Petunia Easy Wave Plum Pudding Mix 50/50 Mini Portrait Tag</t>
  </si>
  <si>
    <t>TAG Petunia Easy Wave Plum Vein 100/100 Pixie Tag</t>
  </si>
  <si>
    <t>TAG Petunia Easy Wave Plum Vein 50/50 Mini Portrait Tag</t>
  </si>
  <si>
    <t>TAG Petunia Easy Wave Red 100/100 Pixie Tag</t>
  </si>
  <si>
    <t>TAG Petunia Easy Wave Red 25/25 Portrait Tag</t>
  </si>
  <si>
    <t>TAG Petunia Easy Wave Red 50/50 Mini Portrait Tag</t>
  </si>
  <si>
    <t>TAG Petunia Easy Wave Rise N Shine Mix 100/100 Pixie Tag</t>
  </si>
  <si>
    <t>TAG Petunia Easy Wave Rosy Dawn 100/100 Pixie Tag</t>
  </si>
  <si>
    <t>TAG Petunia Easy Wave Rosy Dawn 50/50 Mini Portrait Tag</t>
  </si>
  <si>
    <t>TAG Petunia Easy Wave Rose 100/100 Pixie Tag</t>
  </si>
  <si>
    <t>TAG Petunia Easy Wave Rose Fusion 100/100 Pixie Tag</t>
  </si>
  <si>
    <t>TAG Petunia Easy Wave Series 100/100 Hang Tag</t>
  </si>
  <si>
    <t>TAG Petunia Easy Wave Salmon 100/100 Pixie Tag</t>
  </si>
  <si>
    <t>TAG Petunia Easy Wave Silver 100/100 Pixie Tag</t>
  </si>
  <si>
    <t>TAG Petunia Easy Wave Starfish Mix 100/100 Pixie Tag</t>
  </si>
  <si>
    <t>TAG Petunia Easy Wave South Beach Mix 100/100 Pixie Tag</t>
  </si>
  <si>
    <t>TAG Petunia Easy Wave South Beach Mix 50/50 Mini Portrait Tag</t>
  </si>
  <si>
    <t>TAG Petunia Easy Wave The Flag Mix 100/100 Pixie Tag</t>
  </si>
  <si>
    <t>TAG Petunia Easy Wave The Flag Mix 50/50 Mini Portrait Tag</t>
  </si>
  <si>
    <t>TAG Petunia Easy Wave Velour Berry 100/100 Pixie Tag</t>
  </si>
  <si>
    <t>TAG Petunia Easy Wave Velour Burgundy 100/100 Pixie Tag</t>
  </si>
  <si>
    <t>TAG Petunia Easy Wave Velour Red 100/100 Pixie Tag</t>
  </si>
  <si>
    <t>TAG Petunia Easy Wave Velour Red 50/50 Mini Portrait Tag</t>
  </si>
  <si>
    <t>TAG Petunia Easy Wave Violet 100/100 Pixie Tag</t>
  </si>
  <si>
    <t>TAG Petunia Easy Wave Violet 50/50 Mini Portrait Tag</t>
  </si>
  <si>
    <t>TAG Petunia Easy Wave White 100/100 Pixie Tag</t>
  </si>
  <si>
    <t>TAG Petunia Easy Wave White 25/25 Portrait Tag</t>
  </si>
  <si>
    <t>TAG Petunia Easy Wave White 50/50 Mini Portrait Tag</t>
  </si>
  <si>
    <t>TAG Petunia Easy Wave Yellow 100/100 Pixie Tag</t>
  </si>
  <si>
    <t>TAG Petunia Easy Wave Yellow 50/50 Mini Portrait Tag</t>
  </si>
  <si>
    <t>TAG Petunia Espresso Frappe Series 100/100 Pixie Tag SF</t>
  </si>
  <si>
    <t>TAG Petunia Evening Scentsation 100/100 Pixie Tag</t>
  </si>
  <si>
    <t>TAG Petunia Ez Rider Blue 100/100 Pixie Tag</t>
  </si>
  <si>
    <t>TAG Petunia Ez Rider Deep Pink 100/100 Pixie Tag</t>
  </si>
  <si>
    <t>TAG Petunia Ez Rider Deep Salmon 100/100 Pixie Tag</t>
  </si>
  <si>
    <t>TAG Petunia Ez Rider Mix 100/100 Pixie Tag</t>
  </si>
  <si>
    <t>TAG Petunia Ez Rider Red 100/100 Pixie Tag</t>
  </si>
  <si>
    <t>TAG Petunia Ez Rider Rose 100/100 Pixie Tag</t>
  </si>
  <si>
    <t>TAG Petunia Ez Rider Violet 100/100 Pixie Tag</t>
  </si>
  <si>
    <t>TAG Petunia Ez Rider White 100/100 Pixie Tag</t>
  </si>
  <si>
    <t>TAG Petunia FlashForward Blue 100/100 Pixie Tag SF</t>
  </si>
  <si>
    <t>TAG Petunia FlashForward Burgundy 100/100 Pixie Tag SF</t>
  </si>
  <si>
    <t>TAG Petunia FlashForward Cool Waters Mix 100/100 Pixie Tag SF</t>
  </si>
  <si>
    <t>TAG Petunia FlashForward Coral 100/100 Pixie Tag SF</t>
  </si>
  <si>
    <t>TAG Petunia FlashForward Lavender 100/100 Pixie Tag SF</t>
  </si>
  <si>
    <t>TAG Petunia FlashForward Mix 100/100 Pixie Tag SF</t>
  </si>
  <si>
    <t>TAG Petunia FlashForward Patriot Mix 100/100 Pixie Tag SF</t>
  </si>
  <si>
    <t>TAG Petunia FlashForward Pink 100/100 Pixie Tag SF</t>
  </si>
  <si>
    <t>TAG Petunia FlashForward Pink Glo 100/100 Pixie Tag SF</t>
  </si>
  <si>
    <t>TAG Petunia FlashForward Purple 100/100 Pixie Tag SF</t>
  </si>
  <si>
    <t>TAG Petunia FlashForward Red 100/100 Pixie Tag SF</t>
  </si>
  <si>
    <t>TAG Petunia FlashForward Salmon 100/100 Pixie Tag SF</t>
  </si>
  <si>
    <t>TAG Petunia FlashForward Sky Blue 100/100 Pixie Tag SF</t>
  </si>
  <si>
    <t>TAG Petunia FlashForward White 100/100 Pixie Tag SF</t>
  </si>
  <si>
    <t>TAG Petunia Flower Shower Blue 50/50 Pixie TAG DO FUL</t>
  </si>
  <si>
    <t>TAG Petunia Flower Shower Flame 50/50 Petite Portrait DO FUL</t>
  </si>
  <si>
    <t>TAG Petunia Flower Shower Mayan Sunset 50/50 Petite Portrait DO FUL</t>
  </si>
  <si>
    <t>TAG Petunia Flower Shower Patrick Star 50/50 Petite Portrait DO FUL</t>
  </si>
  <si>
    <t>TAG Petunia Flower Shower Ringo Str 50/50 Pixie TAG DO FUL</t>
  </si>
  <si>
    <t>TAG Petunia Flower Shower Series 100/100 Pixie Tag</t>
  </si>
  <si>
    <t>TAG Petunia Flower Shower White 50/50 Petite Portrait DO FUL</t>
  </si>
  <si>
    <t>TAG Petunia Flower Shower Ziggy Star 50/50 Petite Portrait DO FUL</t>
  </si>
  <si>
    <t>TAG Petunia Fortunia Blackberry Gem 50/50 Petite Portrait DO FUL</t>
  </si>
  <si>
    <t>TAG Petunia Fortunia Coral Gem 50/50 Petite Portrait DO FUL</t>
  </si>
  <si>
    <t>TAG Petunia Fortunia Early Blue 50/50 Petite Portrait DO FUL</t>
  </si>
  <si>
    <t>TAG Petunia Fortunia Early Dark Purple 50/50 Petite Portrait DO FUL</t>
  </si>
  <si>
    <t>TAG Petunia Fortunia Early Pink Gem 50/50 Petite Portrait DO FUL</t>
  </si>
  <si>
    <t>TAG Petunia Fortunia Early Pink Lemonade 50/50 Petite Portrait DO FUL</t>
  </si>
  <si>
    <t>TAG Petunia Fortunia Early Red 50/50 Petite Portrait DO FUL</t>
  </si>
  <si>
    <t>TAG Petunia Fortunia Early White 50/50 Petite Portrait DO FUL</t>
  </si>
  <si>
    <t>TAG Petunia Fortunia Early Yellow 50/50 Petite Portrait DO FUL</t>
  </si>
  <si>
    <t>TAG Petunia Fortunia Purple Gem 50/50 Petite Portrait DO FUL</t>
  </si>
  <si>
    <t>TAG Petunia FotoFinish Blue 100/100 Pixie Tag SF</t>
  </si>
  <si>
    <t>TAG Petunia FotoFinish Burgundy 100/100 Pixie Tag SF</t>
  </si>
  <si>
    <t>TAG Petunia FotoFinish Mix 100/100 Pixie Tag SF</t>
  </si>
  <si>
    <t>TAG Petunia FotoFinish Patriot Mix 100/100 Pixie Tag SF</t>
  </si>
  <si>
    <t>TAG Petunia FotoFinish Pink 100/100 Pixie Tag SF</t>
  </si>
  <si>
    <t>TAG Petunia FotoFinish Red 100/100 Pixie Tag SF</t>
  </si>
  <si>
    <t>TAG Petunia FotoFinish Rose Morn 100/100 Pixie Tag SF</t>
  </si>
  <si>
    <t>TAG Petunia FotoFinish Rose Star 100/100 Pixie Tag SF</t>
  </si>
  <si>
    <t>TAG Petunia FotoFinish Salmon 100/100 Pixie Tag SF</t>
  </si>
  <si>
    <t>TAG Petunia FotoFinish White 100/100 Pixie Tag SF</t>
  </si>
  <si>
    <t>TAG Petunia Frost Blue 100/100 Pixie Tag SF</t>
  </si>
  <si>
    <t>TAG Petunia Frost Cherry 100/100 Pixie Tag SF</t>
  </si>
  <si>
    <t>TAG Petunia Frost Fire 100/100 Pixie Tag SF</t>
  </si>
  <si>
    <t>TAG Petunia Frost Mix 100/100 Pixie Tag SF</t>
  </si>
  <si>
    <t>TAG Petunia Frost Velvet 100/100 Pixie Tag SF</t>
  </si>
  <si>
    <t>TAG Petunia Fun House Amethyst Sunshine 50/50 Petite Portrait SF FUL</t>
  </si>
  <si>
    <t>TAG Petunia Fun House Papaya 50/50 Petite Portrait SF FUL</t>
  </si>
  <si>
    <t>TAG Petunia Fun House Peach Melba 50/50 Petite Portrait SF FUL</t>
  </si>
  <si>
    <t>TAG Petunia Fun House Potpourri 50/50 Petite Portrait SF FUL</t>
  </si>
  <si>
    <t>TAG Petunia Glamouflage Series 100/100 Pixie Tag</t>
  </si>
  <si>
    <t>TAG Petunia Glorious Mix 100/100 Pixie Tag</t>
  </si>
  <si>
    <t>TAG Petunia GENERIC 100/100 Hang Tag</t>
  </si>
  <si>
    <t>TAG Petunia GENERIC 25/25 Portrait Tag</t>
  </si>
  <si>
    <t>TAG Petunia Bilingual GENERIC 100/100 Pixie Tag</t>
  </si>
  <si>
    <t>TAG Petunia Good N Plenty Series 100/100 Pixie Tag</t>
  </si>
  <si>
    <t>TAG Petunia Hang Out Series 100/100 Pixie Tag</t>
  </si>
  <si>
    <t>TAG Petunia Heat Elite Blue 100/100 Pixie Tag</t>
  </si>
  <si>
    <t>TAG Petunia Heat Elite Mambo Mix 100/100 Pixie Tag</t>
  </si>
  <si>
    <t>TAG Petunia Heat Elite Mambo Red 100/100 Pixie Tag</t>
  </si>
  <si>
    <t>TAG Petunia Heat Elite White 100/100 Pixie Tag</t>
  </si>
  <si>
    <t>TAG Petunia Hell's Flamin Rose 100/100 Pixie Tag</t>
  </si>
  <si>
    <t>TAG Petunia Hell's Flamin' Rose 50/50 Petite Portrait DO FUL</t>
  </si>
  <si>
    <t>TAG Petunia Hell's Fusion 50/50 Petite Portrait DO FUL</t>
  </si>
  <si>
    <t>TAG Petunia Hell's Glow 50/50 Petite Portrait DO FUL</t>
  </si>
  <si>
    <t>TAG Petunia Hell's Series 100/100 Pixie Tag</t>
  </si>
  <si>
    <t>TAG Petunia Hot Pink Jazz Trailing 50/50 Petite Portrait DO FUL</t>
  </si>
  <si>
    <t>TAG Petunia Hulahoop Blue 100/100 Pixie Tag</t>
  </si>
  <si>
    <t>TAG Petunia Hulahoop Burgundy 100/100 Pixie Tag</t>
  </si>
  <si>
    <t>TAG Petunia Hulahoop Mix 100/100 Pixie Tag</t>
  </si>
  <si>
    <t>TAG Petunia Hulahoop Red 100/100 Pixie Tag</t>
  </si>
  <si>
    <t>TAG Petunia Hulahoop Rose 100/100 Pixie Tag</t>
  </si>
  <si>
    <t>TAG Petunia Hulahoop Velvet 100/100 Pixie Tag</t>
  </si>
  <si>
    <t>TAG Petunia Hurrah Blue 100/100 Pixie Tag SF</t>
  </si>
  <si>
    <t>TAG Petunia Hurrah Blue Veined 100/100 Pixie Tag SF</t>
  </si>
  <si>
    <t>TAG Petunia Hurrah Blueberry Muffin Mix 100/100 Pixie Tag SF</t>
  </si>
  <si>
    <t>TAG Petunia Hurrah Lavender Tie Dye 100/100 Pixie Tag SF</t>
  </si>
  <si>
    <t>TAG Petunia Hurrah Mix 100/100 Pixie Tag SF</t>
  </si>
  <si>
    <t>TAG Petunia Hurrah Mxed Berry Tart Mix 100/100 Pixie Tag SF</t>
  </si>
  <si>
    <t>TAG Petunia Hurrah Pink 100/100 Pixie Tag SF</t>
  </si>
  <si>
    <t>TAG Petunia Hurrah Plum 100/100 Pixie Tag SF</t>
  </si>
  <si>
    <t>TAG Petunia Hurrah Red 100/100 Pixie Tag SF</t>
  </si>
  <si>
    <t>TAG Petunia Hurrah Red Star 100/100 Pixie Tag SF</t>
  </si>
  <si>
    <t>TAG Petunia Hurrah Rose 100/100 Pixie Tag SF</t>
  </si>
  <si>
    <t>TAG Petunia Hurrah Rose Star 100/100 Pixie Tag SF</t>
  </si>
  <si>
    <t>TAG Petunia Hurrah Velvet 100/100 Pixie Tag SF</t>
  </si>
  <si>
    <t>TAG Petunia Hurrah White 100/100 Pixie Tag SF</t>
  </si>
  <si>
    <t>TAG Petunia Itsy Magenta 50/50 Petite Portrait SF FUL</t>
  </si>
  <si>
    <t>TAG Petunia Itsy Pink 50/50 Petite Portrait SF FUL</t>
  </si>
  <si>
    <t>TAG Petunia Itsy White 50/50 Petite Portrait SF FUL</t>
  </si>
  <si>
    <t>TAG Petunia Laura Bush 100/100 Pixie Tag</t>
  </si>
  <si>
    <t>TAG Petunia Limbo GP Blue 100/100 Pixie Tag</t>
  </si>
  <si>
    <t>TAG Petunia Limbo GP Blue Veined 100/100 Pixie Tag</t>
  </si>
  <si>
    <t>TAG Petunia Limbo GP Burgundy 100/100 Pixie Tag</t>
  </si>
  <si>
    <t>TAG Petunia Limbo GP Deep Purple 100/100 Pixie Tag</t>
  </si>
  <si>
    <t>TAG Petunia Limbo GP Mix 100/100 Pixie Tag</t>
  </si>
  <si>
    <t>TAG Petunia Limbo GP Orchid Veined 100/100 Pixie Tag</t>
  </si>
  <si>
    <t>TAG Petunia Limbo GP Picotee Mix 100/100 Pixie Tag</t>
  </si>
  <si>
    <t>TAG Petunia Limbo GP Pink 100/100 Pixie Tag</t>
  </si>
  <si>
    <t>TAG Petunia Limbo GP Plum 100/100 Pixie Tag</t>
  </si>
  <si>
    <t>TAG Petunia Limbo GP Red 100/100 Pixie Tag</t>
  </si>
  <si>
    <t>TAG Petunia Limbo GP Red Veined 100/100 Pixie Tag</t>
  </si>
  <si>
    <t>TAG Petunia Limbo GP Rose 100/100 Pixie Tag</t>
  </si>
  <si>
    <t>TAG Petunia Limbo GP Rose Morn 100/100 Pixie Tag</t>
  </si>
  <si>
    <t>TAG Petunia Limbo GP Rose Picotee 100/100 Pixie Tag</t>
  </si>
  <si>
    <t>TAG Petunia Limbo GP Salmon 100/100 Pixie Tag</t>
  </si>
  <si>
    <t>TAG Petunia Limbo GP Sky Blue 100/100 Pixie Tag</t>
  </si>
  <si>
    <t>TAG Petunia Limbo GP Violet 100/100 Pixie Tag</t>
  </si>
  <si>
    <t>TAG Petunia Limbo GP Violet Picotee 100/100 Pixie Tag</t>
  </si>
  <si>
    <t>TAG Petunia Limbo GP White 100/100 Pixie Tag</t>
  </si>
  <si>
    <t>TAG Petunia Littletunia Bicolor Illusion 100/100 Pixie Tag</t>
  </si>
  <si>
    <t>TAG Petunia Littletunia Blue Vein 100/100 Pixie Tag</t>
  </si>
  <si>
    <t>TAG Petunia Littletunia Bright Red 100/100 Pixie Tag</t>
  </si>
  <si>
    <t>TAG Petunia Littletunia Buttercream 100/100 Pixie Tag</t>
  </si>
  <si>
    <t>TAG Petunia Littletunia Pink 100/100 Pixie Tag</t>
  </si>
  <si>
    <t>TAG Petunia Littletunia Pink Frills 100/100 Pixie Tag</t>
  </si>
  <si>
    <t>TAG Petunia Littletunia Pink Splash 100/100 Pixie Tag</t>
  </si>
  <si>
    <t>TAG Petunia Littletunia Purple Blue 100/100 Pixie Tag</t>
  </si>
  <si>
    <t>TAG Petunia Littletunia Rose 100/100 Pixie Tag</t>
  </si>
  <si>
    <t>TAG Petunia Littletunia Rose Mini 50/50 Petite Portrait SF FUL</t>
  </si>
  <si>
    <t>TAG Petunia Littletunia Shiraz 100/100 Pixie Tag</t>
  </si>
  <si>
    <t>TAG Petunia Littletunia Shiraz Mini 50/50 Petite Portrait SF FUL</t>
  </si>
  <si>
    <t>TAG Petunia Littletunia Violet 100/100 Pixie Tag</t>
  </si>
  <si>
    <t>TAG Petunia Littletunia White Grace Mini 50/50 Petite Portrait SF FUL</t>
  </si>
  <si>
    <t>TAG Petunia Littletunia White Grace 100/100 Pixie Tag</t>
  </si>
  <si>
    <t>TAG Petunia Madness Blue Sky 100/100 Pixie Tag</t>
  </si>
  <si>
    <t>TAG Petunia Madness Blue Star 100/100 Pixie Tag</t>
  </si>
  <si>
    <t>TAG Petunia Madness Blue Vein 100/100 Pixie Tag</t>
  </si>
  <si>
    <t>TAG Petunia Madness Burgundy 100/100 Pixie Tag</t>
  </si>
  <si>
    <t>TAG Petunia Madness Burgundy Star 100/100 Pixie Tag</t>
  </si>
  <si>
    <t>TAG Petunia Madness Carmine 100/100 Pixie Tag</t>
  </si>
  <si>
    <t>TAG Petunia Madness Clear Mix 100/100 Pixie Tag</t>
  </si>
  <si>
    <t>TAG Petunia Madness Deep Rose 100/100 Pixie Tag</t>
  </si>
  <si>
    <t>TAG Petunia Madness Double Blue 100/100 Pixie Tag</t>
  </si>
  <si>
    <t>TAG Petunia Madness Double Burgundy 100/100 Pixie Tag</t>
  </si>
  <si>
    <t>TAG Petunia Madness Double Lavender 100/100 Pixie Tag</t>
  </si>
  <si>
    <t>TAG Petunia Madness Double Mix 100/100 Pixie Tag</t>
  </si>
  <si>
    <t>TAG Petunia Madness Double Pink 100/100 Pixie Tag</t>
  </si>
  <si>
    <t>TAG Petunia Madness Double Red 100/100 Pixie Tag</t>
  </si>
  <si>
    <t>TAG Petunia Madness Double Red And White 100/100 Pixie Tag</t>
  </si>
  <si>
    <t>TAG Petunia Madness Double Rose 100/100 Pixie Tag</t>
  </si>
  <si>
    <t>TAG Petunia Madness Double Rose And White 100/100 Pixie Tag</t>
  </si>
  <si>
    <t>TAG Petunia Madness Double Salmon 100/100 Pixie Tag</t>
  </si>
  <si>
    <t>TAG Petunia Madness Double Satin Pink 100/100 Pixie Tag</t>
  </si>
  <si>
    <t>TAG Petunia Madness Just 100/100 Pixie Tag</t>
  </si>
  <si>
    <t>TAG Petunia Madness Lilac 100/100 Pixie Tag</t>
  </si>
  <si>
    <t>TAG Petunia Madness Magenta 100/100 Pixie Tag</t>
  </si>
  <si>
    <t>TAG Petunia Madness Merlot Mix 100/100 Pixie Tag</t>
  </si>
  <si>
    <t>TAG Petunia Madness Mid Blue 100/100 Pixie Tag</t>
  </si>
  <si>
    <t>TAG Petunia Madness Midnight 100/100 Pixie Tag</t>
  </si>
  <si>
    <t>TAG Petunia Madness Moonlight Mix 100/100 Pixie Tag</t>
  </si>
  <si>
    <t>TAG Petunia Madness Orchid 100/100 Pixie Tag</t>
  </si>
  <si>
    <t>TAG Petunia Madness Pink 100/100 Pixie Tag</t>
  </si>
  <si>
    <t>TAG Petunia Madness Pink Chiffon 100/100 Pixie Tag</t>
  </si>
  <si>
    <t>TAG Petunia Madness Plum 100/100 Pixie Tag</t>
  </si>
  <si>
    <t>TAG Petunia Madness Plum Crazy 100/100 Pixie Tag</t>
  </si>
  <si>
    <t>TAG Petunia Madness Red 100/100 Pixie Tag</t>
  </si>
  <si>
    <t>TAG Petunia Madness Red Morn 100/100 Pixie Tag</t>
  </si>
  <si>
    <t>TAG Petunia Madness Red Picotee 100/100 Pixie Tag</t>
  </si>
  <si>
    <t>TAG Petunia Madness Rose 100/100 Pixie Tag</t>
  </si>
  <si>
    <t>TAG Petunia Madness Rose Morn 100/100 Pixie Tag</t>
  </si>
  <si>
    <t>TAG Petunia Madness Rose Star 100/100 Pixie Tag</t>
  </si>
  <si>
    <t>TAG Petunia Madness Royal 100/100 Pixie Tag</t>
  </si>
  <si>
    <t>TAG Petunia Madness Salmon Morn 100/100 Pixie Tag</t>
  </si>
  <si>
    <t>TAG Petunia Madness Series 100/100 Pixie Tag</t>
  </si>
  <si>
    <t>TAG Petunia Madness Sheer 100/100 Pixie Tag</t>
  </si>
  <si>
    <t>TAG Petunia Madness Simply 100/100 Pixie Tag</t>
  </si>
  <si>
    <t>TAG Petunia Madness Spring 100/100 Pixie Tag</t>
  </si>
  <si>
    <t>TAG Petunia Madness Sugar 100/100 Pixie Tag</t>
  </si>
  <si>
    <t>TAG Petunia Madness Summer 100/100 Pixie Tag</t>
  </si>
  <si>
    <t>TAG Petunia Madness Total 100/100 Pixie Tag</t>
  </si>
  <si>
    <t>TAG Petunia Madness Waterfall Mix 100/100 Pixie Tag</t>
  </si>
  <si>
    <t>TAG Petunia Madness White 100/100 Pixie Tag</t>
  </si>
  <si>
    <t>TAG Petunia Madness Yellow 100/100 Pixie Tag</t>
  </si>
  <si>
    <t>TAG Petunia Mambo Series 100/100 Pixie Tag</t>
  </si>
  <si>
    <t>TAG Petunia Merlin Blue Morn 100/100 Pixie Tag</t>
  </si>
  <si>
    <t>TAG Petunia Old Glory Mix 100/100 Pixie Tag</t>
  </si>
  <si>
    <t>TAG Petunia Opera Supreme Pink Morn 100/100 Pixie Tag</t>
  </si>
  <si>
    <t>TAG Petunia Opera Supreme Raspberry Ice 100/100 Pixie Tag</t>
  </si>
  <si>
    <t>TAG Petunia Origami 50/50 Petite Portrait DO FUL</t>
  </si>
  <si>
    <t>TAG Petunia Origami Burgundy 50/50 Petite Portrait DO FUL</t>
  </si>
  <si>
    <t>TAG Petunia Origami Marine 50/50 Petite Portrait DO FUL</t>
  </si>
  <si>
    <t>TAG Petunia Origami Pink 50/50 Petite Portrait DO FUL</t>
  </si>
  <si>
    <t>TAG Petunia Origami Pink Star 50/50 Petite Portrait DO FUL</t>
  </si>
  <si>
    <t>TAG Petunia Origami Watermelon 50/50 Petite Portrait DO FUL</t>
  </si>
  <si>
    <t>TAG Petunia Origami White 50/50 Petite Portrait DO FUL</t>
  </si>
  <si>
    <t>TAG Petunia Ovation Series 100/100 Pixie Tag</t>
  </si>
  <si>
    <t>TAG Petunia Painted Love Purple 50/50 Pixie Tag SF FUL</t>
  </si>
  <si>
    <t>TAG Petunia Peppy Blue 50/50 Petite Portrait DO FUL</t>
  </si>
  <si>
    <t>TAG Petunia Peppy Burgundy 50/50 Petite Portrait DO FUL</t>
  </si>
  <si>
    <t>TAG Petunia Peppy Cerise 50/50 Petite Portrait DO FUL</t>
  </si>
  <si>
    <t>TAG Petunia Peppy Pink 50/50 Petite Portrait DO FUL</t>
  </si>
  <si>
    <t>TAG Petunia Peppy Pink Vein 50/50 Petite Portrait DO FUL</t>
  </si>
  <si>
    <t>TAG Petunia Peppy Plum 50/50 Petite Portrait DO FUL</t>
  </si>
  <si>
    <t>TAG Petunia Peppy Purple 50/50 Petite Portrait DO FUL</t>
  </si>
  <si>
    <t>TAG Petunia Peppy Red 50/50 Petite Portrait DO FUL</t>
  </si>
  <si>
    <t>TAG Petunia Peppy Sunset 50/50 Petite Portrait DO FUL</t>
  </si>
  <si>
    <t>TAG Petunia Perfectunia Series 100/100 Pixie Tag</t>
  </si>
  <si>
    <t>TAG Petunia Picobella Blue 100/100 Pixie Tag SF</t>
  </si>
  <si>
    <t>TAG Petunia Picobella Carmine 100/100 Pixie Tag SF</t>
  </si>
  <si>
    <t>TAG Petunia Picobella Lavender 100/100 Pixie Tag SF</t>
  </si>
  <si>
    <t>TAG Petunia Picobella Light Lavender 100/100 Pixie Tag SF</t>
  </si>
  <si>
    <t>TAG Petunia Picobella Mix 100/100 Pixie Tag SF</t>
  </si>
  <si>
    <t>TAG Petunia Picobella Pink 100/100 Pixie Tag SF</t>
  </si>
  <si>
    <t>TAG Petunia Picobella Red 100/100 Pixie Tag SF</t>
  </si>
  <si>
    <t>TAG Petunia Picobella Rose 100/100 Pixie Tag SF</t>
  </si>
  <si>
    <t>TAG Petunia Picobella Rose Morn 100/100 Pixie Tag SF</t>
  </si>
  <si>
    <t>TAG Petunia Picobella Rose Star 100/100 Pixie Tag SF</t>
  </si>
  <si>
    <t>TAG Petunia Picobella Salmon 100/100 Pixie Tag SF</t>
  </si>
  <si>
    <t>TAG Petunia Picobella White 100/100 Pixie Tag SF</t>
  </si>
  <si>
    <t>TAG Petunia Picotee Blue 100/100 Pixie Tag</t>
  </si>
  <si>
    <t>TAG Petunia Picotee Red 100/100 Pixie Tag</t>
  </si>
  <si>
    <t>TAG Petunia Picotee Rose 100/100 Pixie Tag</t>
  </si>
  <si>
    <t>TAG Petunia Pink GENERIC 100/100 Pixie Tag</t>
  </si>
  <si>
    <t>TAG Petunia Pinkerbelle 50/50 Petite Portrait DO FUL</t>
  </si>
  <si>
    <t>TAG Petunia Pirouette Purple 100/100 Pixie Tag</t>
  </si>
  <si>
    <t>TAG Petunia Pirouette Red 100/100 Pixie Tag</t>
  </si>
  <si>
    <t>TAG Petunia Pirouette Rose 100/100 Pixie Tag</t>
  </si>
  <si>
    <t>TAG Petunia Pismo Beach 50/50 Petite Portrait DO FUL</t>
  </si>
  <si>
    <t>TAG Petunia Pink Bilingual 100/100 Pixie Tag</t>
  </si>
  <si>
    <t>TAG Petunia Potunia Blueberry Muffin 50/50 Petite Portrait DO FUL</t>
  </si>
  <si>
    <t>TAG Petunia Potunia Cappuccino 50/50 Petite Portrait DO FUL</t>
  </si>
  <si>
    <t>TAG Petunia Potunia Cobalt Blue 50/50 Petite Portrait DO FUL</t>
  </si>
  <si>
    <t>TAG Petunia Potunia Coral 50/50 Petite Portrait DO FUL</t>
  </si>
  <si>
    <t>TAG Petunia Potunia Cotton Candy 50/50 Petite Portrait DO FUL</t>
  </si>
  <si>
    <t>TAG Petunia Potunia Dark Red 50/50 Petite Portrait DO FUL</t>
  </si>
  <si>
    <t>TAG Petunia Potunia Piccola Blue Ice 50/50 Petite Portrait DO FUL</t>
  </si>
  <si>
    <t>TAG Petunia Potunia Piccola Grape Ice 50/50 Petite Portrait DO FUL</t>
  </si>
  <si>
    <t>TAG Petunia Potunia Piccola Hot Pink 50/50 Petite Portrait DO FUL</t>
  </si>
  <si>
    <t>TAG Petunia Potunia Piccola Lavender Touch 50/50 Petite Portrait DO FUL</t>
  </si>
  <si>
    <t>TAG Petunia Potunia Piccola Lilac Blue 50/50 Petite Portrait DO FUL</t>
  </si>
  <si>
    <t>TAG Petunia Potunia Piccola Magenta Star 50/50 Petite Portrait DO FUL</t>
  </si>
  <si>
    <t>TAG Petunia Potunia Piccola Pink 50/50 Petite Portrait DO FUL</t>
  </si>
  <si>
    <t>TAG Petunia Potunia Piccola White 50/50 Petite Portrait DO FUL</t>
  </si>
  <si>
    <t>TAG Petunia Potunia Pink Orchid 50/50 Petite Portrait DO FUL</t>
  </si>
  <si>
    <t>TAG Petunia Potunia Plus Baby Pink 50/50 Petite Portrait DO FUL</t>
  </si>
  <si>
    <t>TAG Petunia Potunia Plus Black Satin 50/50 Petite Portrait DO FUL</t>
  </si>
  <si>
    <t>TAG Petunia Potunia Plus Blue Vein 50/50 Petite Portrait DO FUL</t>
  </si>
  <si>
    <t>TAG Petunia Potunia Plus Burgundy 50/50 Petite Portrait DO FUL</t>
  </si>
  <si>
    <t>TAG Petunia Potunia Plus Coral 50/50 Petite Portrait DO FUL</t>
  </si>
  <si>
    <t>TAG Petunia Potunia Plus Denim 50/50 Petite Portrait DO FUL</t>
  </si>
  <si>
    <t>TAG Petunia Potunia Plus Neon 50/50 Petite Portrait DO FUL</t>
  </si>
  <si>
    <t>TAG Petunia Potunia Plus Papaya 50/50 Petite Portrait DO FUL</t>
  </si>
  <si>
    <t>TAG Petunia Potunia Plus Pinkalics 50/50 Petite Portrait DO FUL</t>
  </si>
  <si>
    <t>TAG Petunia Potunia Plus Purple 50/50 Petite Portrait DO FUL</t>
  </si>
  <si>
    <t>TAG Petunia Potunia Plus Red 50/50 Petite Portrait DO FUL</t>
  </si>
  <si>
    <t>TAG Petunia Potunia Plus Soft Pink Morn 50/50 Petite Portrait DO FUL</t>
  </si>
  <si>
    <t>TAG Petunia Potunia Plus Spun Sugar 50/50 Petite Portrait DO FUL</t>
  </si>
  <si>
    <t>TAG Petunia Potunia Plus White 50/50 Petite Portrait DO FUL</t>
  </si>
  <si>
    <t>TAG Petunia Potunia Plus Yellow 50/50 Petite Portrait DO FUL</t>
  </si>
  <si>
    <t>TAG Petunia Potunia Popcorn 50/50 Petite Portrait DO FUL</t>
  </si>
  <si>
    <t>TAG Petunia Potunia Purple Halo 50/50 Petite Portrait DO FUL</t>
  </si>
  <si>
    <t>TAG Petunia Potunia Starfish 50/50 Petite Portrait DO FUL</t>
  </si>
  <si>
    <t>TAG Petunia Potunia White 50/50 Petite Portrait DO FUL</t>
  </si>
  <si>
    <t>TAG Petunia Presto Series 100/100 Pixie Tag</t>
  </si>
  <si>
    <t>TAG Petunia Pretty Flora Coral 100/100 Pixie Tag</t>
  </si>
  <si>
    <t>TAG Petunia Pretty Flora Flag Mix 100/100 Pixie Tag</t>
  </si>
  <si>
    <t>TAG Petunia Pretty Flora Mello Yellow 100/100 Pixie Tag</t>
  </si>
  <si>
    <t>TAG Petunia Pretty Flora Midnight 100/100 Pixie Tag</t>
  </si>
  <si>
    <t>TAG Petunia Pretty Flora Mix 100/100 Pixie Tag</t>
  </si>
  <si>
    <t>TAG Petunia Pretty Flora Pink 100/100 Pixie Tag</t>
  </si>
  <si>
    <t>TAG Petunia Pretty Flora Pink Pearl 100/100 Pixie Tag</t>
  </si>
  <si>
    <t>TAG Petunia Pretty Flora Purple 100/100 Pixie Tag</t>
  </si>
  <si>
    <t>TAG Petunia Pretty Flora Red 100/100 Pixie Tag</t>
  </si>
  <si>
    <t>TAG Petunia Pretty Flora Rose 100/100 Pixie Tag</t>
  </si>
  <si>
    <t>TAG Petunia Pretty Flora White 100/100 Pixie Tag</t>
  </si>
  <si>
    <t>TAG Petunia Pretty Grand Coral 100/100 Pixie Tag</t>
  </si>
  <si>
    <t>TAG Petunia Pretty Grand Deep Pink 100/100 Pixie Tag</t>
  </si>
  <si>
    <t>TAG Petunia Pretty Grand Flag Mix 100/100 Pixie Tag</t>
  </si>
  <si>
    <t>TAG Petunia Pretty Grand Mello Yellow 100/100 Pixie Tag</t>
  </si>
  <si>
    <t>TAG Petunia Pretty Grand Midnight 100/100 Pixie Tag</t>
  </si>
  <si>
    <t>TAG Petunia Pretty Grand Mix 100/100 Pixie Tag</t>
  </si>
  <si>
    <t>TAG Petunia Pretty Grand Purple 100/100 Pixie Tag</t>
  </si>
  <si>
    <t>TAG Petunia Pretty Grand Red 100/100 Pixie Tag</t>
  </si>
  <si>
    <t>TAG Petunia Pretty Grand Rose 100/100 Pixie Tag</t>
  </si>
  <si>
    <t>TAG Petunia Pretty Grand Summer 100/100 Pixie Tag</t>
  </si>
  <si>
    <t>TAG Petunia Pretty Grand Violet 100/100 Pixie Tag</t>
  </si>
  <si>
    <t>TAG Petunia Pretty Grand White 100/100 Pixie Tag</t>
  </si>
  <si>
    <t>TAG Petunia Prism Sunshine 100/100 Pixie Tag SF</t>
  </si>
  <si>
    <t>TAG Petunia Purple GENERIC 100/100 Pixie Tag</t>
  </si>
  <si>
    <t>TAG Petunia Ray Baroque Pink 100/100 Pixie Tag</t>
  </si>
  <si>
    <t>TAG Petunia Ray Black 100/100 Pixie Tag</t>
  </si>
  <si>
    <t>TAG Petunia Ray Blue 100/100 Pixie Tag</t>
  </si>
  <si>
    <t>TAG Petunia Ray Bordeaux 100/100 Pixie Tag</t>
  </si>
  <si>
    <t>TAG Petunia Ray Fuchsia 100/100 Pixie Tag</t>
  </si>
  <si>
    <t>TAG Petunia Ray Pistachio Cream 100/100 Pixie Tag</t>
  </si>
  <si>
    <t>TAG Petunia Ray Purple 100/100 Pixie Tag</t>
  </si>
  <si>
    <t>TAG Petunia Ray Purple Vein 100/100 Pixie Tag</t>
  </si>
  <si>
    <t>TAG Petunia Ray Red 100/100 Pixie Tag</t>
  </si>
  <si>
    <t>TAG Petunia Ray Shadow 100/100 Pixie Tag</t>
  </si>
  <si>
    <t>TAG Petunia Ray Sunflower 100/100 Pixie Tag</t>
  </si>
  <si>
    <t>TAG Petunia Ray Sunshine 100/100 Pixie Tag</t>
  </si>
  <si>
    <t>TAG Petunia Ray White 100/100 Pixie Tag</t>
  </si>
  <si>
    <t>TAG Petunia Red Bilingual 100/100 Pixie Tag</t>
  </si>
  <si>
    <t>TAG Petunia Red Carpet Blue Diamond 100/100 Pixie Tag</t>
  </si>
  <si>
    <t>TAG Petunia Red Carpet Black Moon Rising 100/100 Pixie Tag</t>
  </si>
  <si>
    <t>TAG Petunia Red Carpet Hippy Chick Violet 100/100 Pixie Tag</t>
  </si>
  <si>
    <t>TAG Petunia Red Carpet Orchid Frost 100/100 Pixie Tag</t>
  </si>
  <si>
    <t>TAG Petunia Red Carpet RIMarkable 100/100 Pixie Tag</t>
  </si>
  <si>
    <t>TAG Petunia Red GENERIC 100/100 Pixie Tag</t>
  </si>
  <si>
    <t>TAG Petunia Red White And Blue Mix GENERIC 100/100 Pixie Tag</t>
  </si>
  <si>
    <t>TAG Petunia Red And White Bilingual 100/100 Pixie Tag</t>
  </si>
  <si>
    <t>TAG Petunia Retro Red 100/100 Pixie Tag</t>
  </si>
  <si>
    <t>TAG Petunia Rose GENERIC 100/100 Pixie Tag</t>
  </si>
  <si>
    <t>TAG Petunia Rose Bilingual 100/100 Pixie Tag</t>
  </si>
  <si>
    <t>TAG Petunia Sanguna Banana Candy 50/50 Petite Portrait SF FUL</t>
  </si>
  <si>
    <t>TAG Petunia Sanguna Blue 50/50 Petite Portrait SF FUL</t>
  </si>
  <si>
    <t>TAG Petunia Sanguna Blue Vein 50/50 Petite Portrait SF FUL</t>
  </si>
  <si>
    <t>TAG Petunia Sanguna Burgundy 50/50 Petite Portrait SF FUL</t>
  </si>
  <si>
    <t>TAG Petunia Sanguna Coral 50/50 Petite Portrait SF FUL</t>
  </si>
  <si>
    <t>TAG Petunia Sanguna Deep Lavender Vein 50/50 Petite Portrait SF FUL</t>
  </si>
  <si>
    <t>TAG Petunia Sanguna Hot Rose 50/50 Petite Portrait SF FUL</t>
  </si>
  <si>
    <t>TAG Petunia Sanguna Lipstick 50/50 Petite Portrait SF FUL</t>
  </si>
  <si>
    <t>TAG Petunia Sanguna Light Blue 50/50 Petite Portrait SF FUL</t>
  </si>
  <si>
    <t>TAG Petunia Sanguna Mango Punch 50/50 Petite Portrait SF FUL</t>
  </si>
  <si>
    <t>TAG Petunia Sanguna Mega Hot Pink 50/50 Petite Portrait SF FUL</t>
  </si>
  <si>
    <t>TAG Petunia Sanguna Mega Pink Vein 50/50 Petite Portrait SF FUL</t>
  </si>
  <si>
    <t>TAG Petunia Sanguna Mega Purple 50/50 Petite Portrait SF FUL</t>
  </si>
  <si>
    <t>TAG Petunia Sanguna Mega Purple Vein 50/50 Petite Portrait SF FUL</t>
  </si>
  <si>
    <t>TAG Petunia Sanguna Merlot 50/50 Petite Portrait SF FUL</t>
  </si>
  <si>
    <t>TAG Petunia Sanguna Patio Blue 50/50 Petite Portrait SF FUL</t>
  </si>
  <si>
    <t>TAG Petunia Sanguna Patio Blue Vein 50/50 Petite Portrait SF FUL</t>
  </si>
  <si>
    <t>TAG Petunia Sanguna Patio Light Blue 50/50 Petite Portrait SF FUL</t>
  </si>
  <si>
    <t>TAG Petunia Sanguna Patio Melon Morn 50/50 Petite Portrait SF FUL</t>
  </si>
  <si>
    <t>TAG Petunia Sanguna Patio Pink Morn 50/50 Petite Portrait SF FUL</t>
  </si>
  <si>
    <t>TAG Petunia Sanguna Patio Purple 50/50 Petite Portrait SF FUL</t>
  </si>
  <si>
    <t>TAG Petunia Sanguna Patio Red 50/50 Petite Portrait SF FUL</t>
  </si>
  <si>
    <t>TAG Petunia Sanguna Patio Radiant Dark Blue 50/50 Petite Portrait SF FUL</t>
  </si>
  <si>
    <t>TAG Petunia Sanguna Patio Rdnt Violet 50/50 Petite Portrait SF FUL</t>
  </si>
  <si>
    <t>TAG Petunia Sanguna Patio Salmon 50/50 Petite Portrait SF FUL</t>
  </si>
  <si>
    <t>TAG Petunia Sanguna Patio White 50/50 Petite Portrait SF FUL</t>
  </si>
  <si>
    <t>TAG Petunia Sanguna Picotee Punch 50/50 Petite Portrait SF FUL</t>
  </si>
  <si>
    <t>TAG Petunia Sanguna Pink Vein 50/50 Petite Portrait SF FUL</t>
  </si>
  <si>
    <t>TAG Petunia Sanguna Purple 50/50 Petite Portrait SF FUL</t>
  </si>
  <si>
    <t>TAG Petunia Sanguna Radiant Blue 50/50 Petite Portrait SF FUL</t>
  </si>
  <si>
    <t>TAG Petunia Sanguna Radiant Rose 50/50 Petite Portrait SF FUL</t>
  </si>
  <si>
    <t>TAG Petunia Sanguna Red 50/50 Petite Portrait SF FUL</t>
  </si>
  <si>
    <t>TAG Petunia Sanguna Rose Vein 50/50 Petite Portrait SF FUL</t>
  </si>
  <si>
    <t>TAG Petunia Sanguna Salmon 50/50 Petite Portrait SF FUL</t>
  </si>
  <si>
    <t>TAG Petunia Sanguna Star Rose 50/50 Petite Portrait SF FUL</t>
  </si>
  <si>
    <t>TAG Petunia Sanguna Sweet Pink 50/50 Petite Portrait SF FUL</t>
  </si>
  <si>
    <t>TAG Petunia Sanguna White 50/50 Petite Portrait SF FUL</t>
  </si>
  <si>
    <t>TAG Petunia Sanguna Yellow 50/50 Petite Portrait SF FUL</t>
  </si>
  <si>
    <t>TAG Petunia Scoop Series 100/100 Pixie Tag</t>
  </si>
  <si>
    <t>TAG Petunia Wave Shock Coconut 100/100 Pixie Tag</t>
  </si>
  <si>
    <t>TAG Petunia Wave Shock Coral Crush 100/100 Pixie Tag</t>
  </si>
  <si>
    <t>TAG Petunia Wave Shock Denim 100/100 Pixie Tag</t>
  </si>
  <si>
    <t>TAG Petunia Wave Shock Deep Purple 100/100 Pixie Tag</t>
  </si>
  <si>
    <t>TAG Petunia Wave Shock Pink Shades 100/100 Pixie Tag</t>
  </si>
  <si>
    <t>TAG Petunia Wave Shock Pink Vein 100/100 Pixie Tag</t>
  </si>
  <si>
    <t>TAG Petunia Wave Shock Power Mix 100/100 Pixie Tag</t>
  </si>
  <si>
    <t>TAG Petunia Wave Shock Purple 100/100 Pixie Tag</t>
  </si>
  <si>
    <t>TAG Petunia Wave Shock Purple Tie Dye 100/100 Pixie Tag</t>
  </si>
  <si>
    <t>TAG Petunia Wave Shock Red 100/100 Pixie Tag</t>
  </si>
  <si>
    <t>TAG Petunia Wave Shock Rose 100/100 Pixie Tag</t>
  </si>
  <si>
    <t>TAG Petunia Wave Shock Spark Mix 100/100 Pixie Tag</t>
  </si>
  <si>
    <t>TAG Petunia Wave Shock Volt Mix 100/100 Pixie Tag</t>
  </si>
  <si>
    <t>TAG Petunia Wave Shock White 100/100 Pixie Tag</t>
  </si>
  <si>
    <t>TAG Petunia Wave Shock Yellow 100/100 Pixie Tag</t>
  </si>
  <si>
    <t>TAG Petunia Shortcake Blueberry 50/50 Petite Portrait SF FUL</t>
  </si>
  <si>
    <t>TAG Petunia Shortcake Raspberry 50/50 Petite Portrait SF FUL</t>
  </si>
  <si>
    <t>TAG Petunia Single Mix GENERIC 100/100 Pixie Tag</t>
  </si>
  <si>
    <t>TAG Petunia Skybox Rose Star 100/100 Pixie Tag SF</t>
  </si>
  <si>
    <t>TAG Petunia Salmon Bilingual 100/100 Pixie Tag</t>
  </si>
  <si>
    <t>TAG Petunia Smartunia Purple Vein 50/50 Petite Portrait DO FUL</t>
  </si>
  <si>
    <t>TAG Petunia Smartunia Windmill Black 50/50 Petite Portrait DO FUL</t>
  </si>
  <si>
    <t>TAG Petunia Smartunia Windmill Pink 50/50 Petite Portrait DO FUL</t>
  </si>
  <si>
    <t>TAG Petunia Smartunia Windmill Red 50/50 Petite Portrait DO FUL</t>
  </si>
  <si>
    <t>TAG Petunia Sophistica Antique Shades 100/100 Pixie Tag</t>
  </si>
  <si>
    <t>TAG Petunia Sophistica Blackberry 100/100 Pixie Tag</t>
  </si>
  <si>
    <t>TAG Petunia Sophistica Blue Morn 100/100 Pixie Tag</t>
  </si>
  <si>
    <t>TAG Petunia Sophistica Lime Bicolor 100/100 Pixie Tag</t>
  </si>
  <si>
    <t>TAG Petunia Sophistica Lime Green 100/100 Pixie Tag</t>
  </si>
  <si>
    <t>TAG Petunia Sophistica Twilight 100/100 Pixie Tag</t>
  </si>
  <si>
    <t>TAG Petunia Splash Dance Series 100/100 Pixie Tag</t>
  </si>
  <si>
    <t>TAG Petunia Spreading GENERIC 100/100 Pixie Tag</t>
  </si>
  <si>
    <t>TAG Petunia Success 360 Blue 100/100 Pixie Tag</t>
  </si>
  <si>
    <t>TAG Petunia Success 360 Burgundy 100/100 Pixie Tag</t>
  </si>
  <si>
    <t>TAG Petunia Success 360 Burgundy Vein 100/100 Pixie Tag</t>
  </si>
  <si>
    <t>TAG Petunia Success 360 Deep Pink 100/100 Pixie Tag</t>
  </si>
  <si>
    <t>TAG Petunia Success 360 Deep Rose 100/100 Pixie Tag</t>
  </si>
  <si>
    <t>TAG Petunia Success 360 Light Yellow 100/100 Pixie Tag</t>
  </si>
  <si>
    <t>TAG Petunia Success 360 Mix 100/100 Pixie Tag</t>
  </si>
  <si>
    <t>TAG Petunia Success 360 Pink 100/100 Pixie Tag</t>
  </si>
  <si>
    <t>TAG Petunia Success 360 Purple 100/100 Pixie Tag</t>
  </si>
  <si>
    <t>TAG Petunia Success 360 Purple Vein 100/100 Pixie Tag</t>
  </si>
  <si>
    <t>TAG Petunia Success 360 Red 100/100 Pixie Tag</t>
  </si>
  <si>
    <t>TAG Petunia Success 360 Red Star 100/100 Pixie Tag</t>
  </si>
  <si>
    <t>TAG Petunia Success 360 Rose Star 100/100 Pixie Tag</t>
  </si>
  <si>
    <t>TAG Petunia Success 360 White 100/100 Pixie Tag</t>
  </si>
  <si>
    <t>TAG Petunia Success Blue 100/100 Pixie Tag</t>
  </si>
  <si>
    <t>TAG Petunia Success HD Blue 100/100 Pixie Tag</t>
  </si>
  <si>
    <t>TAG Petunia Success HD Burgundy 100/100 Pixie Tag</t>
  </si>
  <si>
    <t>TAG Petunia Success HD Light Pink 100/100 Pixie Tag</t>
  </si>
  <si>
    <t>TAG Petunia Success HD Mix 100/100 Pixie Tag</t>
  </si>
  <si>
    <t>TAG Petunia Success HD Pink 100/100 Pixie Tag</t>
  </si>
  <si>
    <t>TAG Petunia Success HD Red 100/100 Pixie Tag</t>
  </si>
  <si>
    <t>TAG Petunia Success HD Rose Star 100/100 Pixie Tag</t>
  </si>
  <si>
    <t>TAG Petunia Success HD Salmon 100/100 Pixie Tag</t>
  </si>
  <si>
    <t>TAG Petunia Success HD Salmon Morn 100/100 Pixie Tag</t>
  </si>
  <si>
    <t>TAG Petunia Success HD White 100/100 Pixie Tag</t>
  </si>
  <si>
    <t>TAG Petunia Success Mix Maxi 100/100 Pixie Tag</t>
  </si>
  <si>
    <t>TAG Petunia Super Cascade Blue 100/100 Pixie Tag</t>
  </si>
  <si>
    <t>TAG Petunia Super Cascade Burgundy 100/100 Pixie Tag</t>
  </si>
  <si>
    <t>TAG Petunia Super Cascade Lilac 100/100 Pixie Tag</t>
  </si>
  <si>
    <t>TAG Petunia Super Cascade Mix 100/100 Pixie Tag</t>
  </si>
  <si>
    <t>TAG Petunia Super Cascade Pink 100/100 Pixie Tag</t>
  </si>
  <si>
    <t>TAG Petunia Super Cascade Red 100/100 Pixie Tag</t>
  </si>
  <si>
    <t>TAG Petunia Super Cascade Rose 100/100 Pixie Tag</t>
  </si>
  <si>
    <t>TAG Petunia Super Cascade White 100/100 Pixie Tag</t>
  </si>
  <si>
    <t>TAG Petunia SuperCal Artist Rose 100/100 Pixie Tag</t>
  </si>
  <si>
    <t>TAG Petunia SuperCal Blue 100/100 Pixie Tag</t>
  </si>
  <si>
    <t>TAG Petunia SuperCal Cherry 100/100 Pixie Tag</t>
  </si>
  <si>
    <t>TAG Petunia SuperCal Lavender Star 100/100 Pixie Tag</t>
  </si>
  <si>
    <t>TAG Petunia SuperCal Light Yellow 100/100 Pixie Tag</t>
  </si>
  <si>
    <t>TAG Petunia SuperCal Neon Rose 100/100 Pixie Tag</t>
  </si>
  <si>
    <t>TAG Petunia SuperCal Pink 100/100 Pixie Tag</t>
  </si>
  <si>
    <t>TAG Petunia SuperCal Premium Bordeaux 100/100 Pixie Tag</t>
  </si>
  <si>
    <t>TAG Petunia SuperCal Premium Cinnamon 100/100 Pixie Tag</t>
  </si>
  <si>
    <t>TAG Petunia SuperCal Premium Pearl White 100/100 Pixie Tag</t>
  </si>
  <si>
    <t>TAG Petunia SuperCal Premium Purple Dawn 100/100 Pixie Tag</t>
  </si>
  <si>
    <t>TAG Petunia SuperCal Premium Red Maple 100/100 Pixie Tag</t>
  </si>
  <si>
    <t>TAG Petunia SuperCal Premium Sunset Orange 100/100 Pixie Tag</t>
  </si>
  <si>
    <t>TAG Petunia SuperCal Premium Sunray Pink 100/100 Pixie Tag</t>
  </si>
  <si>
    <t>TAG Petunia SuperCal Premium Yellow Sun 100/100 Pixie Tag</t>
  </si>
  <si>
    <t>TAG Petunia SuperCal Rose 100/100 Pixie Tag</t>
  </si>
  <si>
    <t>TAG Petunia SuperCal Royal Red 100/100 Pixie Tag</t>
  </si>
  <si>
    <t>TAG Petunia SuperCal Snowberry White 100/100 Pixie Tag</t>
  </si>
  <si>
    <t>TAG Petunia SuperCal Violet 100/100 Pixie Tag</t>
  </si>
  <si>
    <t>TAG Petunia Surprise Amethyst Halo 50/50 Petite Portrait DO FUL</t>
  </si>
  <si>
    <t>TAG Petunia Surprise Blue 50/50 Petite Portrait DO FUL</t>
  </si>
  <si>
    <t>TAG Petunia Surprise Blue Sky 50/50 Petite Portrait DO FUL</t>
  </si>
  <si>
    <t>TAG Petunia Surprise Blue Star 50/50 Petite Portrait DO FUL</t>
  </si>
  <si>
    <t>TAG Petunia Surprise Burgundy Star 50/50 Petite Portrait DO FUL</t>
  </si>
  <si>
    <t>TAG Petunia Surprise Cobalt Blue 50/50 Petite Portrait DO FUL</t>
  </si>
  <si>
    <t>TAG Petunia Surprise Fire Engine Red 50/50 Petite Portrait DO FUL</t>
  </si>
  <si>
    <t>TAG Petunia Surprise Grape 50/50 Petite Portrait DO FUL</t>
  </si>
  <si>
    <t>TAG Petunia Surprise Green Tambourine 50/50 Petite Portrait DO FUL</t>
  </si>
  <si>
    <t>TAG Petunia Surprise Hot Pink 50/50 Petite Portrait DO FUL</t>
  </si>
  <si>
    <t>TAG Petunia Surprise Jolly Yellow 50/50 Petite Portrait DO FUL</t>
  </si>
  <si>
    <t>TAG Petunia Surprise Kardinal Vein 50/50 Petite Portrait DO FUL</t>
  </si>
  <si>
    <t>TAG Petunia Surprise Lovepink 50/50 Petite Portrait DO FUL</t>
  </si>
  <si>
    <t>TAG Petunia Surprise Magenta Halo 50/50 Petite Portrait DO FUL</t>
  </si>
  <si>
    <t>TAG Petunia Surprise Mardi Gras 50/50 Petite Portrait DO FUL</t>
  </si>
  <si>
    <t>TAG Petunia Surprise Marine 50/50 Petite Portrait DO FUL</t>
  </si>
  <si>
    <t>TAG Petunia Surprise Monarch Star 50/50 Petite Portrait DO FUL</t>
  </si>
  <si>
    <t>TAG Petunia Surprise Moonlight Bay 50/50 Petite Portrait DO FUL</t>
  </si>
  <si>
    <t>TAG Petunia Surprise Neon 50/50 Petite Portrait DO FUL</t>
  </si>
  <si>
    <t>TAG Petunia Surprise Pink Orchid 50/50 Petite Portrait DO FUL</t>
  </si>
  <si>
    <t>TAG Petunia Surprise Pinkalicious 50/50 Petite Portrait DO FUL</t>
  </si>
  <si>
    <t>TAG Petunia Surprise Purple Dance 50/50 Petite Portrait DO FUL</t>
  </si>
  <si>
    <t>TAG Petunia Surprise Purple Sky 50/50 Petite Portrait DO FUL</t>
  </si>
  <si>
    <t>TAG Petunia Surprise Purple Star 50/50 Petite Portrait DO FUL</t>
  </si>
  <si>
    <t>TAG Petunia Surprise Raspberry Jam 50/50 Petite Portrait DO FUL</t>
  </si>
  <si>
    <t>TAG Petunia Surprise Red 50/50 Petite Portrait DO FUL</t>
  </si>
  <si>
    <t>TAG Petunia Surprise Sparkle Blue 50/50 Petite Portrait DO FUL</t>
  </si>
  <si>
    <t>TAG Petunia Surprise Sparkle Burgundy 50/50 Petite Portrait DO FUL</t>
  </si>
  <si>
    <t>TAG Petunia Surprise Sparkle Magnt 50/50 Petite Portrait DO FUL</t>
  </si>
  <si>
    <t>TAG Petunia Surprise Sparkle Purple 50/50 Petite Portrait DO FUL</t>
  </si>
  <si>
    <t>TAG Petunia Surprise Sparkle Red 50/50 Petite Portrait DO FUL</t>
  </si>
  <si>
    <t>TAG Petunia Surprise Strawberry Ice 19 50/50 Petite Portrait DO FUL</t>
  </si>
  <si>
    <t>TAG Petunia Surprise Tie Dye Pink 50/50 Petite Portrait DO FUL</t>
  </si>
  <si>
    <t>TAG Petunia Surprise Tie Dye Violet 50/50 Petite Portrait DO FUL</t>
  </si>
  <si>
    <t>TAG Petunia Surprise White 50/50 Petite Portrait DO FUL</t>
  </si>
  <si>
    <t>TAG Petunia Surprise White Orchid 50/50 Petite Portrait DO FUL</t>
  </si>
  <si>
    <t>TAG Petunia Surprise Yellow 50/50 Petite Portrait DO FUL</t>
  </si>
  <si>
    <t>TAG Petunia Sweetunia Black Satin 50/50 Petite Portrait DO FUL</t>
  </si>
  <si>
    <t>TAG Petunia Sweetunia Blueberry Ice 50/50 Petite Portrait DO FUL</t>
  </si>
  <si>
    <t>TAG Petunia Sweetunia Bubblelou 50/50 Petite Portrait DO FUL</t>
  </si>
  <si>
    <t>TAG Petunia Sweetunia Coral Flash 50/50 Petite Portrait DO FUL</t>
  </si>
  <si>
    <t>TAG Petunia Sweetunia Fiona Flash 50/50 Petite Portrait DO FUL</t>
  </si>
  <si>
    <t>TAG Petunia Sweetunia Hot Pink 50/50 Petite Portrait DO FUL</t>
  </si>
  <si>
    <t>TAG Petunia Sweetunia Hot Pink Lemond 50/50 Petite Portrait DO FUL</t>
  </si>
  <si>
    <t>TAG Petunia Sweetunia Hot Pink Touch 50/50 Petite Portrait DO FUL</t>
  </si>
  <si>
    <t>TAG Petunia Sweetunia Hot Rod Red 50/50 Petite Portrait DO FUL</t>
  </si>
  <si>
    <t>TAG Petunia Sweetunia Johnny Flame 50/50 Petite Portrait DO FUL</t>
  </si>
  <si>
    <t>TAG Petunia Sweetunia Lavender Shimmer 50/50 Petite Portrait DO FUL</t>
  </si>
  <si>
    <t>TAG Petunia Sweetunia Light Pink Touch 50/50 Petite Portrait DO FUL</t>
  </si>
  <si>
    <t>TAG Petunia Sweetunia Miss Marvelous 50/50 Petite Portrait DO FUL</t>
  </si>
  <si>
    <t>TAG Petunia Sweetunia Pink Lemonade 50/50 Petite Portrait DO FUL</t>
  </si>
  <si>
    <t>TAG Petunia Sweetunia Pink Touch 50/50 Petite Portrait DO FUL</t>
  </si>
  <si>
    <t>TAG Petunia Sweetunia Popcorn 50/50 Petite Portrait DO FUL</t>
  </si>
  <si>
    <t>TAG Petunia Sweetunia Purple Gem 50/50 Petite Portrait DO FUL</t>
  </si>
  <si>
    <t>TAG Petunia Sweetunia Purple Spotlight 50/50 Petite Portrait DO FUL</t>
  </si>
  <si>
    <t>TAG Petunia Sweetunia Purple Star 50/50 Petite Portrait DO FUL</t>
  </si>
  <si>
    <t>TAG Petunia Sweetunia Purple Touch 50/50 Petite Portrait DO FUL</t>
  </si>
  <si>
    <t>TAG Petunia Sweetunia Purple Vein 50/50 Petite Portrait DO FUL</t>
  </si>
  <si>
    <t>TAG Petunia Sweetunia Raspberry Lemonade 50/50 Petite Portrait DO FUL</t>
  </si>
  <si>
    <t>TAG Petunia Sweetunia Rose Shimmer 50/50 Petite Portrait DO FUL</t>
  </si>
  <si>
    <t>TAG Petunia Sweetunia Strawberry Morning 50/50 Petite Portrait DO FUL</t>
  </si>
  <si>
    <t>TAG Petunia Sweetunia Suzie Storm 50/50 Petite Portrait DO FUL</t>
  </si>
  <si>
    <t>TAG Petunia Sweetunia White 50/50 Petite Portrait DO FUL</t>
  </si>
  <si>
    <t>TAG Petunia Sweetunia Windmill Cherry 50/50 Petite Portrait DO FUL</t>
  </si>
  <si>
    <t>TAG Petunia Sweetunia Windmill Purple 50/50 Petite Portrait DO FUL</t>
  </si>
  <si>
    <t>TAG Petunia Tea Series 100/100 Pixie Tag</t>
  </si>
  <si>
    <t>TAG Petunia Wave Tidal Cherry 100/100 Pixie Tag</t>
  </si>
  <si>
    <t>TAG Petunia Wave Tidal Hot Pink 100/100 Pixie Tag</t>
  </si>
  <si>
    <t>TAG Petunia Wave Tidal Purple 100/100 Pixie Tag</t>
  </si>
  <si>
    <t>TAG Petunia Wave Tidal Red Velour 100/100 Pixie Tag</t>
  </si>
  <si>
    <t>TAG Petunia Wave Tidal Silver 100/100 Pixie Tag</t>
  </si>
  <si>
    <t>TAG Petunia Wave Tidal Silver 50/50 Mini Portrait Tag</t>
  </si>
  <si>
    <t>TAG Petunia Titan Series 100/100 Pixie Tag</t>
  </si>
  <si>
    <t>TAG Petunia Trilogy Series 100/100 Pixie Tag</t>
  </si>
  <si>
    <t>TAG Petunia TriTunia Blue 100/100 Pixie Tag SF</t>
  </si>
  <si>
    <t>TAG Petunia TriTunia Blue Star 100/100 Pixie Tag SF</t>
  </si>
  <si>
    <t>TAG Petunia TriTunia Blue Veined 100/100 Pixie Tag SF</t>
  </si>
  <si>
    <t>TAG Petunia TriTunia Burgundy 100/100 Pixie Tag SF</t>
  </si>
  <si>
    <t>TAG Petunia TriTunia Cool Waters Mix 100/100 Pixie Tag SF</t>
  </si>
  <si>
    <t>TAG Petunia TriTunia Crimson Star 100/100 Pixie Tag SF</t>
  </si>
  <si>
    <t>TAG Petunia TriTunia Fresh White 100/100 Pixie Tag SF</t>
  </si>
  <si>
    <t>TAG Petunia TriTunia Lavender 100/100 Pixie Tag SF</t>
  </si>
  <si>
    <t>TAG Petunia TriTunia Mix 100/100 Pixie Tag SF</t>
  </si>
  <si>
    <t>TAG Petunia TriTunia Pink 100/100 Pixie Tag SF</t>
  </si>
  <si>
    <t>TAG Petunia TriTunia Pink Morn 100/100 Pixie Tag SF</t>
  </si>
  <si>
    <t>TAG Petunia TriTunia Pink Veined 100/100 Pixie Tag SF</t>
  </si>
  <si>
    <t>TAG Petunia TriTunia Plum 100/100 Pixie Tag SF</t>
  </si>
  <si>
    <t>TAG Petunia TriTunia Purple 100/100 Pixie Tag SF</t>
  </si>
  <si>
    <t>TAG Petunia TriTunia Purple Star 100/100 Pixie Tag SF</t>
  </si>
  <si>
    <t>TAG Petunia TriTunia Red 100/100 Pixie Tag SF</t>
  </si>
  <si>
    <t>TAG Petunia TriTunia Red Star 100/100 Pixie Tag SF</t>
  </si>
  <si>
    <t>TAG Petunia TriTunia Rose 100/100 Pixie Tag SF</t>
  </si>
  <si>
    <t>TAG Petunia TriTunia Rose Star 100/100 Pixie Tag SF</t>
  </si>
  <si>
    <t>TAG Petunia TriTunia Salmon 100/100 Pixie Tag SF</t>
  </si>
  <si>
    <t>TAG Petunia TriTunia Salmon Veined 100/100 Pixie Tag SF</t>
  </si>
  <si>
    <t>TAG Petunia TriTunia Series 100/100 Pixie Tag SF</t>
  </si>
  <si>
    <t>TAG Petunia TriTunia Sky Blue 100/100 Pixie Tag SF</t>
  </si>
  <si>
    <t>TAG Petunia TriTunia Spirit Mix 100/100 Pixie Tag SF</t>
  </si>
  <si>
    <t>TAG Petunia TriTunia Star Mix 100/100 Pixie Tag SF</t>
  </si>
  <si>
    <t>TAG Petunia TriTunia Veined Mix 100/100 Pixie Tag SF</t>
  </si>
  <si>
    <t>TAG Petunia TriTunia Violet 100/100 Pixie Tag SF</t>
  </si>
  <si>
    <t>TAG Petunia TriTunia White 100/100 Pixie Tag SF</t>
  </si>
  <si>
    <t>TAG Petunia Tumbelina Series 100/100 Pixie Tag</t>
  </si>
  <si>
    <t>TAG Petunia Ultra Blue 100/100 Pixie Tag SF</t>
  </si>
  <si>
    <t>TAG Petunia Ultra Blue Star 100/100 Pixie Tag SF</t>
  </si>
  <si>
    <t>TAG Petunia Ultra Burgundy 100/100 Pixie Tag SF</t>
  </si>
  <si>
    <t>TAG Petunia Ultra Crimson Star 100/100 Pixie Tag SF</t>
  </si>
  <si>
    <t>TAG Petunia Ultra Mix 100/100 Pixie Tag SF</t>
  </si>
  <si>
    <t>TAG Petunia Ultra Pink 100/100 Pixie Tag SF</t>
  </si>
  <si>
    <t>TAG Petunia Ultra Red 100/100 Pixie Tag SF</t>
  </si>
  <si>
    <t>TAG Petunia Ultra Red Star 100/100 Pixie Tag SF</t>
  </si>
  <si>
    <t>TAG Petunia Ultra Sky Blue 100/100 Pixie Tag SF</t>
  </si>
  <si>
    <t>TAG Petunia Ultra Violet 100/100 Pixie Tag SF</t>
  </si>
  <si>
    <t>TAG Petunia Ultra White 100/100 Pixie Tag SF</t>
  </si>
  <si>
    <t>TAG Petunia Valentine 100/100 Pixie Tag</t>
  </si>
  <si>
    <t>TAG Petunia Veranda Series 100/100 Pixie Tag</t>
  </si>
  <si>
    <t>TAG Petunia Wave Blue 100/100 Pixie Tag</t>
  </si>
  <si>
    <t>TAG Petunia Wave Blue 50/50 Mini Portrait Tag</t>
  </si>
  <si>
    <t>TAG Petunia Wave Carmine Velour 100/100 Pixie Tag</t>
  </si>
  <si>
    <t>TAG Petunia Wave Lavender 100/100 Pixie Tag</t>
  </si>
  <si>
    <t>TAG Petunia Wave Lavender 50/50 Mini Portrait Tag</t>
  </si>
  <si>
    <t>TAG Petunia Wave Medley Mix 25/25 Portrait Tag</t>
  </si>
  <si>
    <t>TAG Petunia Wave Misty Lilac 100/100 Pixie Tag</t>
  </si>
  <si>
    <t>TAG Petunia Wave Misty Lilac 50/50 Mini Portrait Tag</t>
  </si>
  <si>
    <t>TAG Petunia Wave Pink 100/100 Pixie Tag</t>
  </si>
  <si>
    <t>TAG Petunia Wave Pink 25/25 Portrait Tag</t>
  </si>
  <si>
    <t>TAG Petunia Wave Pink 50/50 Mini Portrait Tag</t>
  </si>
  <si>
    <t>TAG Petunia Wave Purple 100/100 Pixie Tag</t>
  </si>
  <si>
    <t>TAG Petunia Wave Purple 50/50 Mini Portrait Tag</t>
  </si>
  <si>
    <t>TAG Petunia Wave Purple Classic 100/100 Hang Tag</t>
  </si>
  <si>
    <t>TAG Petunia Wave Purple Classic 100/100 Pixie Tag</t>
  </si>
  <si>
    <t>TAG Petunia Wave Purple Classic 25/25 Portrait Tag</t>
  </si>
  <si>
    <t>TAG Petunia Wave Purple Classic 50/50 Mini Portrait Tag</t>
  </si>
  <si>
    <t>TAG Petunia Wave Rose 100/100 Pixie Tag</t>
  </si>
  <si>
    <t>TAG Petunia White Bilingual 100/100 Pixie Tag</t>
  </si>
  <si>
    <t>TAG Petunia White GENERIC 100/100 Pixie Tag</t>
  </si>
  <si>
    <t>TAG Petunia Yellow GENERIC 100/100 Pixie Tag</t>
  </si>
  <si>
    <t>TAG Petunia Zoom Purple 100/100 Pixie Tag</t>
  </si>
  <si>
    <t>TAG Philodendron Blushing GENERIC 100/100 Pixie Tag</t>
  </si>
  <si>
    <t>TAG Philodendron GENERIC 100/100 Pixie Tag</t>
  </si>
  <si>
    <t>TAG Philodendron Heart Leaf 100/100 Hang Tag</t>
  </si>
  <si>
    <t>TAG Phlox 21st Century Blue 100/100 Pixie Tag</t>
  </si>
  <si>
    <t>TAG Phlox 21st Century Crimson 100/100 Pixie Tag</t>
  </si>
  <si>
    <t>TAG Phlox 21st Century Mix 100/100 Pixie Tag</t>
  </si>
  <si>
    <t>TAG Phlox 21st Century Patriot Mix 100/100 Pixie Tag</t>
  </si>
  <si>
    <t>TAG Phlox 21st Century Pink 100/100 Pixie Tag</t>
  </si>
  <si>
    <t>TAG Phlox 21st Century Scarlet 100/100 Pixie Tag</t>
  </si>
  <si>
    <t>TAG Phlox 21st Century White 100/100 Pixie Tag</t>
  </si>
  <si>
    <t>TAG Phlox Amazing Grace 100/100 Pixie Tag DO FUL</t>
  </si>
  <si>
    <t>TAG Phlox Amazing Grace 25/25 Portrait Tag</t>
  </si>
  <si>
    <t>TAG Phlox Baby Doll White 25/25 Portrait Tag</t>
  </si>
  <si>
    <t>TAG Phlox Blue GENERIC 100/100 Pixie Tag</t>
  </si>
  <si>
    <t>TAG Phlox Blue Moon 100/100 Pixie Tag DO FUL</t>
  </si>
  <si>
    <t>TAG Phlox Blue Moon 25/25 Portrait Tag</t>
  </si>
  <si>
    <t>TAG Phlox Blue Paradise 25/25 Portrait Tag</t>
  </si>
  <si>
    <t>TAG Phlox Bright Eyes 25/25 Portrait Tag</t>
  </si>
  <si>
    <t>TAG Phlox Candy Stripe 100/100 Pixie Tag DO FUL</t>
  </si>
  <si>
    <t>TAG Phlox Candy Stripe 25/25 Portrait Tag</t>
  </si>
  <si>
    <t>TAG Phlox Candy Stripe 50/50 Petite Portrait DO FUL</t>
  </si>
  <si>
    <t>TAG Phlox Candy Stripes Moss 50/50 Petite Portrait SF FUL</t>
  </si>
  <si>
    <t>TAG Phlox Chattahoochee 100/100 Pixie Tag DO FUL</t>
  </si>
  <si>
    <t>TAG Phlox Chattahoochee 25/25 Portrait Tag</t>
  </si>
  <si>
    <t>TAG Phlox Chattahoochee 50/50 Petite Portrait DO FUL</t>
  </si>
  <si>
    <t>TAG Phlox Cherry Cream 25/25 Portrait Tag</t>
  </si>
  <si>
    <t>TAG Phlox Coral Eye 25/25 Portrait Tag</t>
  </si>
  <si>
    <t>TAG Phlox Creeping GENERIC 100/100 Pixie Tag</t>
  </si>
  <si>
    <t>TAG Phlox Creeping GENERIC 25/25 Portrait Tag</t>
  </si>
  <si>
    <t>TAG Phlox Crimson Beauty 25/25 Portrait Tag</t>
  </si>
  <si>
    <t>TAG Phlox Crimson Beauty 50/50 Petite Portrait DO FUL</t>
  </si>
  <si>
    <t>TAG Phlox David 25/25 Portrait Tag</t>
  </si>
  <si>
    <t>TAG Phlox Drummond's Pink 100/100 Pixie Tag DO FUL</t>
  </si>
  <si>
    <t>TAG Phlox Drummond's Pink 25/25 Portrait Tag</t>
  </si>
  <si>
    <t>TAG Phlox Drummond's Pink 50/50 Petite Portrait DO FUL</t>
  </si>
  <si>
    <t>TAG Phlox Dwarf Hybrids GENERIC 25/25 Portrait Tag</t>
  </si>
  <si>
    <t>TAG Phlox Early Blush Pop 100/100 Pixie Tag DO FUL</t>
  </si>
  <si>
    <t>TAG Phlox Early Cerise 100/100 Pixie Tag DO FUL</t>
  </si>
  <si>
    <t>TAG Phlox Early Cerise 50/50 Petite Portrait DO FUL</t>
  </si>
  <si>
    <t>TAG Phlox Early Lavender Pop 100/100 Pixie Tag DO FUL</t>
  </si>
  <si>
    <t>TAG Phlox Early Magenta 100/100 Pixie Tag DO FUL</t>
  </si>
  <si>
    <t>TAG Phlox Early Magenta 50/50 Petite Portrait DO FUL</t>
  </si>
  <si>
    <t>TAG Phlox Early Pink 100/100 Pixie Tag DO FUL</t>
  </si>
  <si>
    <t>TAG Phlox Early Pink 50/50 Petite Portrait DO FUL</t>
  </si>
  <si>
    <t>TAG Phlox Early Pink Candy 100/100 Pixie Tag DO FUL</t>
  </si>
  <si>
    <t>TAG Phlox Early Pink Eye 50/50 Petite Portrait DO FUL</t>
  </si>
  <si>
    <t>TAG Phlox Early Purple Eye 100/100 Pixie Tag DO FUL</t>
  </si>
  <si>
    <t>TAG Phlox Early Red 100/100 Pixie Tag DO FUL</t>
  </si>
  <si>
    <t>TAG Phlox Early White 100/100 Pixie Tag DO FUL</t>
  </si>
  <si>
    <t>TAG Phlox Emerald Blue 100/100 Pixie Tag</t>
  </si>
  <si>
    <t>TAG Phlox Emerald Blue 25/25 Portrait Tag</t>
  </si>
  <si>
    <t>TAG Phlox Emerald Blue 50/50 Petite Portrait DO FUL</t>
  </si>
  <si>
    <t>TAG Phlox Emerald Blue CN5344 100/100 Pixie Tag DO FUL</t>
  </si>
  <si>
    <t>TAG Phlox Emerald Cushion Blue 25/25 Portrait Tag</t>
  </si>
  <si>
    <t>TAG Phlox Emerald Cushion Blue 50/50 Petite Portrait SF FUL</t>
  </si>
  <si>
    <t>TAG Phlox Emerald Pink 100/100 Pixie Tag</t>
  </si>
  <si>
    <t>TAG Phlox Emerald Pink 25/25 Portrait Tag</t>
  </si>
  <si>
    <t>TAG Phlox Emerald Pink 50/50 Petite Portrait DO FUL</t>
  </si>
  <si>
    <t>TAG Phlox Eva Cullum 25/25 Portrait Tag</t>
  </si>
  <si>
    <t>TAG Phlox Famous Coral 25/25 Portrait Tag</t>
  </si>
  <si>
    <t>TAG Phlox Famous Light Pink 25/25 Portrait Tag</t>
  </si>
  <si>
    <t>TAG Phlox Famous Magenta 25/25 Portrait Tag</t>
  </si>
  <si>
    <t>TAG Phlox Famous Pink 25/25 Portrait Tag</t>
  </si>
  <si>
    <t>TAG Phlox Flame Blue 25/25 Portrait Tag DO</t>
  </si>
  <si>
    <t>TAG Phlox Flame Coral 100/100 Pixie Tag DO FUL</t>
  </si>
  <si>
    <t>TAG Phlox Flame Coral 25/25 Portrait Tag DO</t>
  </si>
  <si>
    <t>TAG Phlox Flame Coral 50/50 Petite Portrait DO FUL</t>
  </si>
  <si>
    <t>TAG Phlox Flame Light Blue 100/100 Pixie Tag DO FUL</t>
  </si>
  <si>
    <t>TAG Phlox Flame Light Blue 25/25 Portrait Tag DO</t>
  </si>
  <si>
    <t>TAG Phlox Flame Light Pink 100/100 Pixie Tag DO FUL</t>
  </si>
  <si>
    <t>TAG Phlox Flame Light Pink 25/25 Portrait Tag DO</t>
  </si>
  <si>
    <t>TAG Phlox Flame Light Pink 50/50 Petite Portrait DO FUL</t>
  </si>
  <si>
    <t>TAG Phlox Flame Lilac 25/25 Portrait Tag DO</t>
  </si>
  <si>
    <t>TAG Phlox Flame Lilac Star 100/100 Pixie Tag DO FUL</t>
  </si>
  <si>
    <t>TAG Phlox Flame Lilac Star 25/25 Portrait Tag DO</t>
  </si>
  <si>
    <t>TAG Phlox Flame Marine 25/25 Portrait Tag DO</t>
  </si>
  <si>
    <t>TAG Phlox Flame Pink 100/100 Pixie Tag DO FUL</t>
  </si>
  <si>
    <t>TAG Phlox Flame Pink 25/25 Portrait Tag DO</t>
  </si>
  <si>
    <t>TAG Phlox Flame Pink Eye 25/25 Portrait Tag DO</t>
  </si>
  <si>
    <t>TAG Phlox Flame Pro Baby DO FULll 100/100 Pixie Tag DO FUL</t>
  </si>
  <si>
    <t>TAG Phlox Flame Pro Baby DO FULll 50/50 Petite Portrait DO FUL</t>
  </si>
  <si>
    <t>TAG Phlox Flame Pro Cerise 100/100 Pixie Tag DO FUL</t>
  </si>
  <si>
    <t>TAG Phlox Flame Pro Cerise 50/50 Petite Portrait DO FUL</t>
  </si>
  <si>
    <t>TAG Phlox Flame Pro Lilac 100/100 Pixie Tag DO FUL</t>
  </si>
  <si>
    <t>TAG Phlox Flame Pro Lilac 50/50 Petite Portrait DO FUL</t>
  </si>
  <si>
    <t>TAG Phlox Flame Pro Pink Pop 100/100 Pixie Tag DO FUL</t>
  </si>
  <si>
    <t>TAG Phlox Flame Pro Purple 100/100 Pixie Tag DO FUL</t>
  </si>
  <si>
    <t>TAG Phlox Flame Pro Purple 50/50 Petite Portrait DO FUL</t>
  </si>
  <si>
    <t>TAG Phlox Flame Pro Rose Pink 100/100 Pixie Tag DO FUL</t>
  </si>
  <si>
    <t>TAG Phlox Flame Pro Violet Charme 100/100 Pixie Tag DO FUL</t>
  </si>
  <si>
    <t>TAG Phlox Flame Purple 100/100 Pixie Tag DO FUL</t>
  </si>
  <si>
    <t>TAG Phlox Flame Purple 25/25 Portrait Tag DO</t>
  </si>
  <si>
    <t>TAG Phlox Flame Purple 50/50 Petite Portrait DO FUL</t>
  </si>
  <si>
    <t>TAG Phlox Flame Purple Eye 100/100 Pixie Tag DO FUL</t>
  </si>
  <si>
    <t>TAG Phlox Flame Purple Eye 25/25 Portrait Tag DO</t>
  </si>
  <si>
    <t>TAG Phlox Flame Purple Eye 50/50 Petite Portrait DO FUL</t>
  </si>
  <si>
    <t>TAG Phlox Flame Red 100/100 Pixie Tag DO FUL</t>
  </si>
  <si>
    <t>TAG Phlox Flame Red 25/25 Portrait Tag DO</t>
  </si>
  <si>
    <t>TAG Phlox Flame Ruby 50/50 Petite Portrait DO FUL</t>
  </si>
  <si>
    <t>TAG Phlox Flame Violet 50/50 Petite Portrait DO FUL</t>
  </si>
  <si>
    <t>TAG Phlox Flame Watermelon 100/100 Pixie Tag DO FUL</t>
  </si>
  <si>
    <t>TAG Phlox Flame Watermelon 25/25 Portrait Tag DO</t>
  </si>
  <si>
    <t>TAG Phlox Flame White 100/100 Pixie Tag DO FUL</t>
  </si>
  <si>
    <t>TAG Phlox Flame White 25/25 Portrait Tag DO</t>
  </si>
  <si>
    <t>TAG Phlox Flame White 50/50 Petite Portrait DO FUL</t>
  </si>
  <si>
    <t>TAG Phlox Flame White Eye 100/100 Pixie Tag DO FUL</t>
  </si>
  <si>
    <t>TAG Phlox Flame White Eye 25/25 Portrait Tag DO</t>
  </si>
  <si>
    <t>TAG Phlox Fort Hill 100/100 Pixie Tag DO FUL</t>
  </si>
  <si>
    <t>TAG Phlox Fort Hill 25/25 Portrait Tag</t>
  </si>
  <si>
    <t>TAG Phlox Fort Hill 50/50 Petite Portrait DO FUL</t>
  </si>
  <si>
    <t>TAG Phlox Garden Girls Cover Girl 25/25 Portrait Tag</t>
  </si>
  <si>
    <t>TAG Phlox Garden Girls Dream Girl 25/25 Portrait Tag</t>
  </si>
  <si>
    <t>TAG Phlox Garden Girls Fancy Girl 25/25 Portrait Tag</t>
  </si>
  <si>
    <t>TAG Phlox Garden Girls Glamour Girl 25/25 Portrait Tag</t>
  </si>
  <si>
    <t>TAG Phlox Garden Girls Material Girl 25/25 Portrait Tag</t>
  </si>
  <si>
    <t>TAG Phlox Garden Girls Party Girl 25/25 Portrait Tag</t>
  </si>
  <si>
    <t>TAG Phlox Garden Girls Uptown Girl 25/25 Portrait Tag</t>
  </si>
  <si>
    <t>TAG Phlox Garden Phlox GENERIC 25/25 Portrait Tag</t>
  </si>
  <si>
    <t>TAG Phlox GENERIC 100/100 Pixie Tag</t>
  </si>
  <si>
    <t>TAG Phlox Goldiphlox Cherry 25/25 Portrait Tag</t>
  </si>
  <si>
    <t>TAG Phlox Goldiphlox Cherry 50/50 Petite Portrait SF FUL</t>
  </si>
  <si>
    <t>TAG Phlox GoldiPhlox Lavender Eye 25/25 Portrait Tag</t>
  </si>
  <si>
    <t>TAG Phlox Goldiphlox Light Blue 25/25 Portrait Tag</t>
  </si>
  <si>
    <t>TAG Phlox Goldiphlox Light Blue 50/50 Petite Portrait SF FUL</t>
  </si>
  <si>
    <t>TAG Phlox GoldiPhlox Light Pink 25/25 Portrait Tag</t>
  </si>
  <si>
    <t>TAG Phlox Goldiphlox Pink 25/25 Portrait Tag</t>
  </si>
  <si>
    <t>TAG Phlox Goldiphlox Pink 50/50 Petite Portrait SF FUL</t>
  </si>
  <si>
    <t>TAG Phlox Goldiphlox Rose 25/25 Portrait Tag</t>
  </si>
  <si>
    <t>TAG Phlox Goldiphlox Rose 50/50 Petite Portrait SF FUL</t>
  </si>
  <si>
    <t>TAG Phlox Goldiphlox White 25/25 Portrait Tag</t>
  </si>
  <si>
    <t>TAG Phlox Goldiphlox White 50/50 Petite Portrait SF FUL</t>
  </si>
  <si>
    <t>TAG Phlox Jeana 25/25 Portrait Tag</t>
  </si>
  <si>
    <t>TAG Phlox Ka Pow Lavender 25/25 Portrait Tag</t>
  </si>
  <si>
    <t>TAG Phlox Ka Pow Pink 25/25 Portrait Tag</t>
  </si>
  <si>
    <t>TAG Phlox Ka Pow Purple 25/25 Portrait Tag</t>
  </si>
  <si>
    <t>TAG Phlox Ka Pow Soft Pink 25/25 Portrait Tag</t>
  </si>
  <si>
    <t>TAG Phlox Ka Pow White 25/25 Portrait Tag</t>
  </si>
  <si>
    <t>TAG Phlox Ka Pow White Bicolor 25/25 Portrait Tag</t>
  </si>
  <si>
    <t>TAG Phlox Laura 25/25 Portrait Tag</t>
  </si>
  <si>
    <t>TAG Phlox Laura 50/50 Petite Portrait DO FUL</t>
  </si>
  <si>
    <t>TAG Phlox May Breeze 100/100 Pixie Tag DO FUL</t>
  </si>
  <si>
    <t>TAG Phlox May Breeze 25/25 Portrait Tag</t>
  </si>
  <si>
    <t>TAG Phlox McDaniel's Cushion 25/25 Portrait Tag</t>
  </si>
  <si>
    <t>TAG Phlox Nicky 25/25 Portrait Tag</t>
  </si>
  <si>
    <t>TAG Phlox Nora Leigh 25/25 Portrait Tag</t>
  </si>
  <si>
    <t>TAG Phlox Oakington Blue Eyes 25/25 Portrait Tag</t>
  </si>
  <si>
    <t>TAG Phlox Peacock Cherry Red 50/50 Petite Portrait SF FUL</t>
  </si>
  <si>
    <t>TAG Phlox Peacock White 50/50 Petite Portrait SF FUL</t>
  </si>
  <si>
    <t>TAG Phlox Trot Pink 50/50 Petite Portrait SF FUL</t>
  </si>
  <si>
    <t>TAG Phlox Phloxstar Magenta 100/100 Pixie Tag</t>
  </si>
  <si>
    <t>TAG Phlox Phloxstar Pink 100/100 Pixie Tag</t>
  </si>
  <si>
    <t>TAG Phlox Phloxstar Red 100/100 Pixie Tag</t>
  </si>
  <si>
    <t>TAG Phlox Phloxstar White 100/100 Pixie Tag</t>
  </si>
  <si>
    <t>TAG Phlox Phloxy Lady Cherry Red 50/50 Petite Portrait DO FUL</t>
  </si>
  <si>
    <t>TAG Phlox Phloxy Lady Hot Pink 50/50 Petite Portrait DO FUL</t>
  </si>
  <si>
    <t>TAG Phlox Phloxy Lady Purple 50/50 Petite Portrait DO FUL</t>
  </si>
  <si>
    <t>TAG Phlox Phloxy Lady Purple Sky 50/50 Petite Portrait DO FUL</t>
  </si>
  <si>
    <t>TAG Phlox Phloxy Lady White 50/50 Petite Portrait DO FUL</t>
  </si>
  <si>
    <t>TAG Phlox Pink GENERIC 100/100 Pixie Tag</t>
  </si>
  <si>
    <t>TAG Phlox Popstars Deep Blue 100/100 Pixie Tag SF</t>
  </si>
  <si>
    <t>TAG Phlox Popstars Mix 100/100 Pixie Tag SF</t>
  </si>
  <si>
    <t>TAG Phlox Popstars Purple 100/100 Pixie Tag SF</t>
  </si>
  <si>
    <t>TAG Phlox Popstars Purple With Eye 100/100 Pixie Tag SF</t>
  </si>
  <si>
    <t>TAG Phlox Popstars Red 100/100 Pixie Tag SF</t>
  </si>
  <si>
    <t>TAG Phlox Popstars Rose With Eye 100/100 Pixie Tag SF</t>
  </si>
  <si>
    <t>TAG Phlox Purple Beauty 100/100 Pixie Tag DO FUL</t>
  </si>
  <si>
    <t>TAG Phlox Purple Beauty 25/25 Portrait Tag</t>
  </si>
  <si>
    <t>TAG Phlox Purple Beauty 50/50 Petite Portrait SF FUL</t>
  </si>
  <si>
    <t>TAG Phlox Red Wings 25/25 Portrait Tag</t>
  </si>
  <si>
    <t>TAG Phlox Red Wings 50/50 Petite Portrait DO FUL</t>
  </si>
  <si>
    <t>TAG Phlox Ronsdorfer Beauty 25/25 Portrait Tag</t>
  </si>
  <si>
    <t>TAG Phlox Scarlet Flame 100/100 Pixie Tag DO FUL</t>
  </si>
  <si>
    <t>TAG Phlox Scarlet Flame 25/25 Portrait Tag</t>
  </si>
  <si>
    <t>TAG Phlox Scarlet Flame 50/50 Petite Portrait SF FUL</t>
  </si>
  <si>
    <t>TAG Phlox Scarlet Flame CR4431 50/50 Petite Portrait DO FUL</t>
  </si>
  <si>
    <t>TAG Phlox Sherwood Purple 25/25 Portrait Tag</t>
  </si>
  <si>
    <t>TAG Phlox Snowflake 100/100 Pixie Tag</t>
  </si>
  <si>
    <t>TAG Phlox Snowflake 25/25 Portrait Tag</t>
  </si>
  <si>
    <t>TAG Phlox Spring Blue 100/100 Pixie Tag DO FUL</t>
  </si>
  <si>
    <t>TAG Phlox Spring Hot Pink 100/100 Pixie Tag DO FUL</t>
  </si>
  <si>
    <t>TAG Phlox Spring Late Pink 100/100 Pixie Tag DO FUL</t>
  </si>
  <si>
    <t>TAG Phlox Spring Late White 100/100 Pixie Tag DO FUL</t>
  </si>
  <si>
    <t>TAG Phlox Spring Lavender 100/100 Pixie Tag DO FUL</t>
  </si>
  <si>
    <t>TAG Phlox Spring Light Pink 100/100 Pixie Tag DO FUL</t>
  </si>
  <si>
    <t>TAG Phlox Spring Lilac 100/100 Pixie Tag DO FUL</t>
  </si>
  <si>
    <t>TAG Phlox Spring Pink 100/100 Pixie Tag DO FUL</t>
  </si>
  <si>
    <t>TAG Phlox Spring Pink Dark Eye 100/100 Pixie Tag DO FUL</t>
  </si>
  <si>
    <t>TAG Phlox Spring Purple 100/100 Pixie Tag DO FUL</t>
  </si>
  <si>
    <t>TAG Phlox Spring Purple Limited Availability 50/50 Petite Portrait DO FUL</t>
  </si>
  <si>
    <t>TAG Phlox Spring Scarlet 100/100 Pixie Tag DO FUL</t>
  </si>
  <si>
    <t>TAG Phlox Spring Soft Pink 100/100 Pixie Tag DO FUL</t>
  </si>
  <si>
    <t>TAG Phlox Spring White 100/100 Pixie Tag DO</t>
  </si>
  <si>
    <t>TAG Phlox Spring White CN5339 100/100 Pixie Tag DO FUL</t>
  </si>
  <si>
    <t>TAG Phlox Spring White Limited Availability 50/50 Petite Portrait DO FUL</t>
  </si>
  <si>
    <t>TAG Phlox Starfire 25/25 Portrait Tag</t>
  </si>
  <si>
    <t>TAG Phlox Super Ka-Pow Blue 25/25 Portrait Tag</t>
  </si>
  <si>
    <t>TAG Phlox Super Ka-Pow Coral 25/25 Portrait Tag</t>
  </si>
  <si>
    <t>TAG Phlox Super Ka-Pow Fuchsia 25/25 Portrait Tag</t>
  </si>
  <si>
    <t>TAG Phlox Super Ka-Pow Lavender 25/25 Portrait Tag</t>
  </si>
  <si>
    <t>TAG Phlox Super Ka-Pow Pink 25/25 Portrait Tag</t>
  </si>
  <si>
    <t>TAG Phlox Super Ka-Pow White 25/25 Portrait Tag</t>
  </si>
  <si>
    <t>TAG Phlox Sweet Seduction Blue 50/50 Petite Portrait DO FUL</t>
  </si>
  <si>
    <t>TAG Phlox Sweet Seduction Pink 50/50 Petite Portrait DO FUL</t>
  </si>
  <si>
    <t>TAG Phlox Sweet Summer Compact Purple Bicolor 25/25 Portrait Tag</t>
  </si>
  <si>
    <t>TAG Phlox Sweet Summer Dream 25/25 Portrait Tag SF</t>
  </si>
  <si>
    <t>TAG Phlox Sweet Summer Dream Orange Rose 50/50 Petite Portrait SF FUL</t>
  </si>
  <si>
    <t>TAG Phlox Sweet Summer Fantasy 25/25 Portrait Tag SF</t>
  </si>
  <si>
    <t>TAG Phlox Sweet Summer Fantasy 50/50 Petite Portrait SF FUL</t>
  </si>
  <si>
    <t>TAG Phlox Sweet Summer Fantasy Purple Bicolor 50/50 Petite Portrait SF FUL</t>
  </si>
  <si>
    <t>TAG Phlox Sweet Summer Festival 25/25 Portrait Tag SF</t>
  </si>
  <si>
    <t>TAG Phlox Sweet Summer Festival Rose With Dark Eye 50/50 Petite Portrait SF FUL</t>
  </si>
  <si>
    <t>TAG Phlox Sweet Summer Fireball 25/25 Portrait Tag SF</t>
  </si>
  <si>
    <t>TAG Phlox Sweet Summer Lilac Wink 25/25 Portrait Tag SF</t>
  </si>
  <si>
    <t>TAG Phlox Sweet Summer Lilac Wink Garden 50/50 Petite Portrait SF FUL</t>
  </si>
  <si>
    <t>TAG Phlox Sweet Summer Pink Wink 25/25 Portrait Tag SF</t>
  </si>
  <si>
    <t>TAG Phlox Sweet Summer Pink Wink Garden 50/50 Petite Portrait SF FUL</t>
  </si>
  <si>
    <t>TAG Phlox Sweet Summer Queen 25/25 Portrait Tag SF</t>
  </si>
  <si>
    <t>TAG Phlox Sweet Summer Queen Salmon Orange 50/50 Petite Portrait SF FUL</t>
  </si>
  <si>
    <t>TAG Phlox Sweet Summer Red 50/50 Petite Portrait SF FUL</t>
  </si>
  <si>
    <t>TAG Phlox Sweet Summer Rose 25/25 Portrait Tag SF</t>
  </si>
  <si>
    <t>TAG Phlox Sweet Summer Rose 50/50 Petite Portrait SF FUL</t>
  </si>
  <si>
    <t>TAG Phlox Sweet Summer Sensation 25/25 Portrait Tag SF</t>
  </si>
  <si>
    <t>TAG Phlox Sweet Summer Sensation Soft Pink 50/50 Petite Portrait SF FUL</t>
  </si>
  <si>
    <t>TAG Phlox Sweet Summer Snow 25/25 Portrait Tag SF</t>
  </si>
  <si>
    <t>TAG Phlox Sweet Summer Snow White 50/50 Petite Portrait SF FUL</t>
  </si>
  <si>
    <t>TAG Phlox Sweet Summer Surpris Violet White 50/50 Petite Portrait SF FUL</t>
  </si>
  <si>
    <t>TAG Phlox Sweet Summer Surprise 25/25 Portrait Tag SF</t>
  </si>
  <si>
    <t>TAG Phlox Trot Pink 25/25 Portrait Tag SF</t>
  </si>
  <si>
    <t>TAG Phlox Violet Pinwheels 25/25 Portrait Tag</t>
  </si>
  <si>
    <t>TAG Phlox White Delight 25/25 Portrait Tag</t>
  </si>
  <si>
    <t>TAG Phlox White GENERIC 25/25 Portrait Tag</t>
  </si>
  <si>
    <t>TAG Phlox Woodlander Lilac 100/100 Pixie Tag DO FUL</t>
  </si>
  <si>
    <t>TAG Phlox Woodlander Lilac 50/50 Petite Portrait DO FUL</t>
  </si>
  <si>
    <t>TAG Phlox Woodlander Periwinkle 100/100 Pixie Tag DO FUL</t>
  </si>
  <si>
    <t>TAG Phlox Woodlander Pink 100/100 Pixie Tag DO FUL</t>
  </si>
  <si>
    <t>TAG Phlox Woodlander Pink 50/50 Petite Portrait DO FUL</t>
  </si>
  <si>
    <t>TAG Phlox Woodlander Purple 100/100 Pixie Tag DO FUL</t>
  </si>
  <si>
    <t>TAG Phlox Woodlander Rose 100/100 Pixie Tag DO FUL</t>
  </si>
  <si>
    <t>TAG Phlox Woodlander Rose 50/50 Petite Portrait DO FUL</t>
  </si>
  <si>
    <t>TAG Phlox Woodlander White 100/100 Pixie Tag DO FUL</t>
  </si>
  <si>
    <t>TAG Phlox Woodlander White 50/50 Petite Portrait DO FUL</t>
  </si>
  <si>
    <t>TAG Phygelius Colorburst Series 25/25 Portrait Tag</t>
  </si>
  <si>
    <t>TAG Physalis Chinese Lantern GENERIC 100/100 Pixie Tag</t>
  </si>
  <si>
    <t>TAG Physalis Chinese Lantern GENERIC 25/25 Portrait Tag</t>
  </si>
  <si>
    <t>TAG Physalis Super Verde 100/100 Pixie Tag</t>
  </si>
  <si>
    <t>TAG Physalis Tomatillo GENERIC 100/100 Pixie Tag</t>
  </si>
  <si>
    <t>TAG Physostegia Autumn Carnival 25/25 Portrait Tag</t>
  </si>
  <si>
    <t>TAG Physostegia Crown Rose 25/25 Portrait Tag</t>
  </si>
  <si>
    <t>TAG Physostegia Crystal Peak 25/25 Portrait Tag</t>
  </si>
  <si>
    <t>TAG Pilea Cadierei 100/100 Pixie Tag</t>
  </si>
  <si>
    <t>TAG Pilea Creeping 100/100 Pixie Tag</t>
  </si>
  <si>
    <t>TAG Pilea Creeping Charlie 100/100 Pixie Tag</t>
  </si>
  <si>
    <t>TAG Pilea GENERIC 100/100 Pixie Tag</t>
  </si>
  <si>
    <t>TAG Pilea Gray Baby's Tears 100/100 Pixie Tag</t>
  </si>
  <si>
    <t>TAG Pilea Microphylla 100/100 Pixie Tag</t>
  </si>
  <si>
    <t>TAG Pilea Peperomioides 100/100 Pixie Tag</t>
  </si>
  <si>
    <t>TAG Pine Norfolk Island Araucaria 100/100 Pixie Tag</t>
  </si>
  <si>
    <t>TAG Platycodon Astra Blue 25/25 Portrait Tag</t>
  </si>
  <si>
    <t>TAG Platycodon Astra Light Pink 25/25 Portrait Tag</t>
  </si>
  <si>
    <t>TAG Platycodon Astra Pink 25/25 Portrait Tag</t>
  </si>
  <si>
    <t>TAG Platycodon Astra Semi Double Blue 25/25 Portrait Tag</t>
  </si>
  <si>
    <t>TAG Platycodon Astra Semi Double Pink 25/25 Portrait Tag</t>
  </si>
  <si>
    <t>TAG Platycodon Astra Semi Double White 25/25 Portrait Tag</t>
  </si>
  <si>
    <t>TAG Platycodon Astra White 25/25 Portrait Tag</t>
  </si>
  <si>
    <t>TAG Platycodon Balloon Flower GENERIC 100/100 Pixie Tag</t>
  </si>
  <si>
    <t>TAG Platycodon Pop Star Blue 25/25 Portrait Tag</t>
  </si>
  <si>
    <t>TAG Platycodon Pop Star Pink 25/25 Portrait Tag</t>
  </si>
  <si>
    <t>TAG Platycodon Pop Star White 25/25 Portrait Tag</t>
  </si>
  <si>
    <t>TAG Platycodon Sentimental Blue 100/100 Pixie Tag</t>
  </si>
  <si>
    <t>TAG Platycodon Sentimental Blue 25/25 Portrait Tag</t>
  </si>
  <si>
    <t>TAG Platycodon Twinkle Blue 25/25 Portrait Tag SF</t>
  </si>
  <si>
    <t>TAG Platycodon Twinkle White 25/25 Portrait Tag SF</t>
  </si>
  <si>
    <t>TAG Plectranthus Australis Swedish Ivy 100/100 Hang Tag</t>
  </si>
  <si>
    <t>TAG Plectranthus Australis Swedish Ivy 100/100 Pixie Tag</t>
  </si>
  <si>
    <t>TAG Plectranthus Coleoides 50/50 Petite Portrait SF FUL</t>
  </si>
  <si>
    <t>TAG Plectranthus Flowering Hybrids GENERIC 100/100 Pixie Tag</t>
  </si>
  <si>
    <t>TAG Plectranthus Golden 100/100 Pixie Tag</t>
  </si>
  <si>
    <t>TAG Plectranthus Green 100/100 Pixie Tag</t>
  </si>
  <si>
    <t>TAG Plectranthus Guacamole 100/100 Pixie Tag</t>
  </si>
  <si>
    <t>TAG Plectranthus Guacamole 50/50 Petite Portrait DO FUL</t>
  </si>
  <si>
    <t>TAG Plectranthus Iboza GENERIC 100/100 Pixie Tag</t>
  </si>
  <si>
    <t>TAG Plectranthus Lemon Twist 100/100 Pixie Tag</t>
  </si>
  <si>
    <t>TAG Plectranthus Lemon Twist 50/50 Petite Portrait DO FUL</t>
  </si>
  <si>
    <t>TAG Plectranthus Marginatus 100/100 Pixie Tag</t>
  </si>
  <si>
    <t>TAG Plectranthus Purpuratus 100/100 Pixie Tag</t>
  </si>
  <si>
    <t>TAG Plectranthus Silver Shield 100/100 Pixie Tag</t>
  </si>
  <si>
    <t>TAG Plectranthus Variegata 100/100 Pixie Tag</t>
  </si>
  <si>
    <t>TAG Plectranthus Variegatus 100/100 Pixie Tag</t>
  </si>
  <si>
    <t>TAG Plectranthus Variegatus 50/50 Petite Portrait DO FUL</t>
  </si>
  <si>
    <t>TAG Plectranthus Velvet Diva 100/100 Pixie Tag</t>
  </si>
  <si>
    <t>TAG Plectranthus Velvet Elvis 100/100 Pixie Tag</t>
  </si>
  <si>
    <t>TAG Plectranthus Velvet Idol 100/100 Pixie Tag</t>
  </si>
  <si>
    <t>TAG Plectranthus Velvet Lady 100/100 Pixie Tag</t>
  </si>
  <si>
    <t>TAG Plectranthus Velvet Starlet 100/100 Pixie Tag</t>
  </si>
  <si>
    <t>TAG Plumbago Dark Blue GENERIC 100/100 Pixie Tag</t>
  </si>
  <si>
    <t>TAG Plumbago Imperial Blue 100/100 Pixie Tag</t>
  </si>
  <si>
    <t>TAG Plumbago Imperial Blue 25/25 Portrait Tag</t>
  </si>
  <si>
    <t>TAG Plumbago Imperial Blue 50/50 Petite Portrait DO FUL</t>
  </si>
  <si>
    <t>TAG Plumbago Plumbago GENERIC 100/100 Pixie Tag</t>
  </si>
  <si>
    <t>TAG Herb Patchouli Pogostemon Cablin 100/100 Pixie Tag</t>
  </si>
  <si>
    <t>TAG Polemonium Blue 100/100 Pixie Tag</t>
  </si>
  <si>
    <t>TAG Polemonium Blue Pearl Reptans 25/25 Portrait Tag</t>
  </si>
  <si>
    <t>TAG Polemonium Brise Danjou 25/25 Portrait Tag</t>
  </si>
  <si>
    <t>TAG Polemonium Golden Feathers 25/25 Portrait Tag</t>
  </si>
  <si>
    <t>TAG Polemonium Heavenly Habit 25/25 Portrait Tag</t>
  </si>
  <si>
    <t>TAG Polemonium Jacob's Ladder GENERIC 25/25 Portrait Tag</t>
  </si>
  <si>
    <t>TAG Polemonium Purple Rain Yezoense 25/25 Portrait Tag</t>
  </si>
  <si>
    <t>TAG Polemonium Stairway To Heaven Reptans 25/25 Portrait Tag</t>
  </si>
  <si>
    <t>TAG Polemonium Touch Of Class 25/25 Portrait Tag</t>
  </si>
  <si>
    <t>TAG Polygonatum Variegatum Odoratum 25/25 Portrait Tag</t>
  </si>
  <si>
    <t>TAG Portulaca 24/7 Series 100/100 Pixie Tag</t>
  </si>
  <si>
    <t>TAG Portulaca Campino Pink Twist 100/100 Pixie Tag</t>
  </si>
  <si>
    <t>TAG Portulaca Campino Red Twist 100/100 Pixie Tag</t>
  </si>
  <si>
    <t>TAG Portulaca ColorBlast Double Coconut 100/100 Pixie Tag</t>
  </si>
  <si>
    <t>TAG Portulaca ColorBlast Double Dragonfruit 100/100 Pixie Tag</t>
  </si>
  <si>
    <t>TAG Portulaca ColorBlast Double Guava 100/100 Pixie Tag</t>
  </si>
  <si>
    <t>TAG Portulaca ColorBlast Double Magenta 100/100 Pixie Tag</t>
  </si>
  <si>
    <t>TAG Portulaca ColorBlast Double Magenta 50/50 Petite Portrait DO FUL</t>
  </si>
  <si>
    <t>TAG Portulaca ColorBlast Double Orange 100/100 Pixie Tag</t>
  </si>
  <si>
    <t>TAG Portulaca ColorBlast Double Orange 50/50 Petite Portrait DO FUL</t>
  </si>
  <si>
    <t>TAG Portulaca ColorBlast Double Pink 100/100 Pixie Tag</t>
  </si>
  <si>
    <t>TAG Portulaca ColorBlast Double Scarlet 100/100 Pixie Tag</t>
  </si>
  <si>
    <t>TAG Portulaca ColorBlast Double Scarlet 50/50 Petite Portrait DO FUL</t>
  </si>
  <si>
    <t>TAG Portulaca ColorBlast Double Yellow 100/100 Pixie Tag</t>
  </si>
  <si>
    <t>TAG Portulaca ColorBlast Double Yellow 50/50 Petite Portrait DO FUL</t>
  </si>
  <si>
    <t>TAG Portulaca ColorBlast Grenadine 100/100 Pixie Tag</t>
  </si>
  <si>
    <t>TAG Portulaca ColorBlast Lemon Twist 100/100 Pixie Tag</t>
  </si>
  <si>
    <t>TAG Portulaca ColorBlast Lemon Twist 50/50 Petite Portrait DO FUL</t>
  </si>
  <si>
    <t>TAG Portulaca ColorBlast Limon 100/100 Pixie Tag</t>
  </si>
  <si>
    <t>TAG Portulaca ColorBlast Mango Mojito 100/100 Pixie Tag</t>
  </si>
  <si>
    <t>TAG Portulaca ColorBlast Mango Mojito 50/50 Petite Portrait DO FUL</t>
  </si>
  <si>
    <t>TAG Portulaca ColorBlast Pink Lady 100/100 Pixie Tag</t>
  </si>
  <si>
    <t>TAG Portulaca ColorBlast Pink Lady 50/50 Petite Portrait DO FUL</t>
  </si>
  <si>
    <t>TAG Portulaca ColorBlast Plumberry 100/100 Pixie Tag</t>
  </si>
  <si>
    <t>TAG Portulaca ColorBlast Rum Punch 100/100 Pixie Tag</t>
  </si>
  <si>
    <t>TAG Portulaca ColorBlast Rum Punch 50/50 Petite Portrait DO FUL</t>
  </si>
  <si>
    <t>TAG Portulaca ColorBlast Tangerine 100/100 Pixie Tag</t>
  </si>
  <si>
    <t>TAG Portulaca ColorBlast White 100/100 Pixie Tag</t>
  </si>
  <si>
    <t>TAG Portulaca ColorBlast Watermelon Punch 100/100 Pixie Tag</t>
  </si>
  <si>
    <t>TAG Portulaca ColorBlast Watermelon Punch 50/50 Petite Portrait DO FUL</t>
  </si>
  <si>
    <t>TAG Portulaca Cupcake Carrot 50/50 Petite Portrait DO FUL</t>
  </si>
  <si>
    <t>TAG Portulaca Cupcake Cherry Baby 50/50 Petite Portrait DO FUL</t>
  </si>
  <si>
    <t>TAG Portulaca Cupcake Coconut 50/50 Petite Portrait DO FUL</t>
  </si>
  <si>
    <t>TAG Portulaca Cupcake Grape Jelly 50/50 Petite Portrait DO FUL</t>
  </si>
  <si>
    <t>TAG Portulaca Cupcake Magenta Touch 50/50 Petite Portrait DO FUL</t>
  </si>
  <si>
    <t>TAG Portulaca Cupcake Orange Touch 50/50 Petite Portrait DO FUL</t>
  </si>
  <si>
    <t>TAG Portulaca Cupcake Peachy 50/50 Petite Portrait DO FUL</t>
  </si>
  <si>
    <t>TAG Portulaca Cupcake Purple Touch 50/50 Petite Portrait DO FUL</t>
  </si>
  <si>
    <t>TAG Portulaca Cupcake Strawberry Banana 50/50 Petite Portrait DO FUL</t>
  </si>
  <si>
    <t>TAG Portulaca Cupcake Upright Golden Yellow 50/50 Petite Portrait DO FUL</t>
  </si>
  <si>
    <t>TAG Portulaca Cupcake Upright Lavender 50/50 Petite Portrait DO FUL</t>
  </si>
  <si>
    <t>TAG Portulaca Cupcake Upright Lemon Zest 50/50 Petite Portrait DO FUL</t>
  </si>
  <si>
    <t>TAG Portulaca Cupcake Upright Orange Zest 50/50 Petite Portrait DO FUL</t>
  </si>
  <si>
    <t>TAG Portulaca Cupcake Upright Raspberry 50/50 Petite Portrait DO FUL</t>
  </si>
  <si>
    <t>TAG Portulaca Cupcake Upright White 50/50 Petite Portrait DO FUL</t>
  </si>
  <si>
    <t>TAG Portulaca Cupcake Yellow Chrome 50/50 Petite Portrait DO FUL</t>
  </si>
  <si>
    <t>TAG Portulaca Double GENERIC 100/100 Pixie Tag</t>
  </si>
  <si>
    <t>TAG Portulaca Elephant Bush 100/100 Pixie Tag</t>
  </si>
  <si>
    <t>TAG Portulaca GENERIC 100/100 Hang Tag</t>
  </si>
  <si>
    <t>TAG Portulaca Bilingual GENERIC 100/100 Pixie Tag</t>
  </si>
  <si>
    <t>TAG Portulaca Happy Hour Banana 100/100 Pixie Tag</t>
  </si>
  <si>
    <t>TAG Portulaca Happy Hour Coconut 100/100 Pixie Tag</t>
  </si>
  <si>
    <t>TAG Portulaca Happy Hour Deep Red 100/100 Pixie Tag</t>
  </si>
  <si>
    <t>TAG Portulaca Happy Hour Fuchsia 100/100 Pixie Tag</t>
  </si>
  <si>
    <t>TAG Portulaca Happy Hour Lemon 100/100 Pixie Tag</t>
  </si>
  <si>
    <t>TAG Portulaca Happy Hour Mix 100/100 Pixie Tag</t>
  </si>
  <si>
    <t>TAG Portulaca Happy Hour Orange 100/100 Pixie Tag</t>
  </si>
  <si>
    <t>TAG Portulaca Happy Hour Peppermint 100/100 Pixie Tag</t>
  </si>
  <si>
    <t>TAG Portulaca Happy Hour Pink Passion Mix 100/100 Pixie Tag</t>
  </si>
  <si>
    <t>TAG Portulaca Happy Hour Rosita 100/100 Pixie Tag</t>
  </si>
  <si>
    <t>TAG Portulaca Happy Hour Tropical Mix 100/100 Pixie Tag</t>
  </si>
  <si>
    <t>TAG Portulaca Happy Trails Series 100/100 Pixie Tag</t>
  </si>
  <si>
    <t>TAG Portulaca Hot Pink GENERIC 100/100 Pixie Tag</t>
  </si>
  <si>
    <t>TAG Portulaca Hot Shot Series 100/100 Pixie Tag</t>
  </si>
  <si>
    <t>TAG Portulaca Mache Lemon Rose Bicolor 100/100 Pixie Tag</t>
  </si>
  <si>
    <t>TAG Portulaca Margarita Mix 100/100 Pixie Tag</t>
  </si>
  <si>
    <t>TAG Portulaca Mediopicta 100/100 Pixie Tag DO FUL</t>
  </si>
  <si>
    <t>TAG Portulaca Mix GENERIC 100/100 Pixie Tag</t>
  </si>
  <si>
    <t>TAG Portulaca Orange GENERIC 100/100 Pixie Tag</t>
  </si>
  <si>
    <t>TAG Portulaca Pazzaz Apricot 100/100 Pixie Tag</t>
  </si>
  <si>
    <t>TAG Portulaca Pazzaz Bright Purple 100/100 Pixie Tag</t>
  </si>
  <si>
    <t>TAG Portulaca Pazzaz Deep Pink 100/100 Pixie Tag</t>
  </si>
  <si>
    <t>TAG Portulaca Pazzaz Fuchsia 100/100 Pixie Tag</t>
  </si>
  <si>
    <t>TAG Portulaca Pazzaz Mega Dark Pink 100/100 Pixie Tag</t>
  </si>
  <si>
    <t>TAG Portulaca Pazzaz Mega Fuchsia 100/100 Pixie Tag</t>
  </si>
  <si>
    <t>TAG Portulaca Pazzaz Mega Gold 100/100 Pixie Tag</t>
  </si>
  <si>
    <t>TAG Portulaca Pazzaz Mega Mango Twist 100/100 Pixie Tag</t>
  </si>
  <si>
    <t>TAG Portulaca Pazzaz Mega Orange 100/100 Pixie Tag</t>
  </si>
  <si>
    <t>TAG Portulaca Pazzaz Mega Papya Twist 100/100 Pixie Tag</t>
  </si>
  <si>
    <t>TAG Portulaca Pazzaz Mega Pink Twist 100/100 Pixie Tag</t>
  </si>
  <si>
    <t>TAG Portulaca Pazzaz Mega Purple 100/100 Pixie Tag</t>
  </si>
  <si>
    <t>TAG Portulaca Pazzaz Mega Red 100/100 Pixie Tag</t>
  </si>
  <si>
    <t>TAG Portulaca Pazzaz Mega Tropical Twist 100/100 Pixie Tag</t>
  </si>
  <si>
    <t>TAG Portulaca Pazzaz Nano Candy Pink 100/100 Pixie Tag</t>
  </si>
  <si>
    <t>TAG Portulaca Pazzaz Nano Deep Orange 100/100 Pixie Tag</t>
  </si>
  <si>
    <t>TAG Portulaca Pazzaz Nano Fuchsia 100/100 Pixie Tag</t>
  </si>
  <si>
    <t>TAG Portulaca Pazzaz Nano Gold 100/100 Pixie Tag</t>
  </si>
  <si>
    <t>TAG Portulaca Pazzaz Nano Hot Pink 100/100 Pixie Tag</t>
  </si>
  <si>
    <t>TAG Portulaca Pazzaz Nano Mango 100/100 Pixie Tag</t>
  </si>
  <si>
    <t>TAG Portulaca Pazzaz Nano Orange 100/100 Pixie Tag</t>
  </si>
  <si>
    <t>TAG Portulaca Pazzaz Nano Orange Twist 100/100 Pixie Tag</t>
  </si>
  <si>
    <t>TAG Portulaca Pazzaz Nano Tropical Punch 100/100 Pixie Tag</t>
  </si>
  <si>
    <t>TAG Portulaca Pazzaz Nano Yellow 100/100 Pixie Tag</t>
  </si>
  <si>
    <t>TAG Portulaca Pazzaz Nano Yellow Twist 100/100 Pixie Tag</t>
  </si>
  <si>
    <t>TAG Portulaca Pazzaz Neon Pink 100/100 Pixie Tag</t>
  </si>
  <si>
    <t>TAG Portulaca Pazzaz Orange Flare 100/100 Pixie Tag</t>
  </si>
  <si>
    <t>TAG Portulaca Pazzaz Red Flare 100/100 Pixie Tag</t>
  </si>
  <si>
    <t>TAG Portulaca Pazzaz Series 100/100 Pixie Tag</t>
  </si>
  <si>
    <t>TAG Portulaca Pazzaz Tangerine 100/100 Pixie Tag</t>
  </si>
  <si>
    <t>TAG Portulaca Pazzaz Vivid Yellow 100/100 Pixie Tag</t>
  </si>
  <si>
    <t>TAG Portulaca Pazzaz White 100/100 Pixie Tag</t>
  </si>
  <si>
    <t>TAG Portulaca Pazzaz Yellow 100/100 Pixie Tag</t>
  </si>
  <si>
    <t>TAG Portulaca Pink GENERIC 100/100 Pixie Tag</t>
  </si>
  <si>
    <t>TAG Portulaca Purple GENERIC 100/100 Pixie Tag</t>
  </si>
  <si>
    <t>TAG Portulaca Purslane GENERIC 100/100 Hang Tag</t>
  </si>
  <si>
    <t>TAG Portulaca Purslane GENERIC 100/100 Pixie Tag</t>
  </si>
  <si>
    <t>TAG Portulaca Red GENERIC 100/100 Pixie Tag</t>
  </si>
  <si>
    <t>TAG Portulaca Rose GENERIC 100/100 Pixie Tag</t>
  </si>
  <si>
    <t>TAG Portulaca Samba Bicolor 100/100 Pixie Tag</t>
  </si>
  <si>
    <t>TAG Portulaca Samba Hot Pink 100/100 Pixie Tag</t>
  </si>
  <si>
    <t>TAG Portulaca Samba Rose 100/100 Pixie Tag</t>
  </si>
  <si>
    <t>TAG Portulaca SeaGlass Orange Shandy 100/100 Pixie Tag</t>
  </si>
  <si>
    <t>TAG Portulaca SeaGlass Pink 100/100 Pixie Tag</t>
  </si>
  <si>
    <t>TAG Portulaca SeaGlass Red 100/100 Pixie Tag</t>
  </si>
  <si>
    <t>TAG Portulaca Stopwatch Cream 100/100 Pixie Tag</t>
  </si>
  <si>
    <t>TAG Portulaca Stopwatch Fuchsia 100/100 Pixie Tag</t>
  </si>
  <si>
    <t>TAG Portulaca Stopwatch Mix 100/100 Pixie Tag</t>
  </si>
  <si>
    <t>TAG Portulaca Stopwatch Orange 100/100 Pixie Tag</t>
  </si>
  <si>
    <t>TAG Portulaca Stopwatch Scarlet 100/100 Pixie Tag</t>
  </si>
  <si>
    <t>TAG Portulaca Stopwatch Yellow 100/100 Pixie Tag</t>
  </si>
  <si>
    <t>TAG Portulaca Sundance Mix 100/100 Pixie Tag</t>
  </si>
  <si>
    <t>TAG Portulaca Sundial Caliente Mix 100/100 Pixie Tag</t>
  </si>
  <si>
    <t>TAG Portulaca Sundial Coral 100/100 Pixie Tag</t>
  </si>
  <si>
    <t>TAG Portulaca Sundial Deep Red 100/100 Pixie Tag</t>
  </si>
  <si>
    <t>TAG Portulaca Sundial Fuchsia 100/100 Pixie Tag</t>
  </si>
  <si>
    <t>TAG Portulaca Sundial Gold 100/100 Pixie Tag</t>
  </si>
  <si>
    <t>TAG Portulaca Sundial Light Pink 100/100 Pixie Tag</t>
  </si>
  <si>
    <t>TAG Portulaca Sundial Mango 100/100 Pixie Tag</t>
  </si>
  <si>
    <t>TAG Portulaca Sundial Mix 100/100 Pixie Tag</t>
  </si>
  <si>
    <t>TAG Portulaca Sundial Orange 100/100 Pixie Tag</t>
  </si>
  <si>
    <t>TAG Portulaca Sundial Peach 100/100 Pixie Tag</t>
  </si>
  <si>
    <t>TAG Portulaca Sundial Peach Mix 100/100 Pixie Tag</t>
  </si>
  <si>
    <t>TAG Portulaca Sundial Peppermint 100/100 Pixie Tag</t>
  </si>
  <si>
    <t>TAG Portulaca Sundial Pink 100/100 Pixie Tag</t>
  </si>
  <si>
    <t>TAG Portulaca Sundial Scarlet 100/100 Pixie Tag</t>
  </si>
  <si>
    <t>TAG Portulaca Sundial Tangerine 100/100 Pixie Tag</t>
  </si>
  <si>
    <t>TAG Portulaca Sundial Valentine Mix 100/100 Pixie Tag</t>
  </si>
  <si>
    <t>TAG Portulaca Sundial Volcano Mix 100/100 Pixie Tag</t>
  </si>
  <si>
    <t>TAG Portulaca Sundial White 100/100 Pixie Tag</t>
  </si>
  <si>
    <t>TAG Portulaca Sundial Yellow 100/100 Pixie Tag</t>
  </si>
  <si>
    <t>TAG Portulaca Sunseeker Mix 100/100 Pixie Tag</t>
  </si>
  <si>
    <t>TAG Portulaca Sunseeker Orange 100/100 Pixie Tag</t>
  </si>
  <si>
    <t>TAG Portulaca Sunseeker Red 100/100 Pixie Tag</t>
  </si>
  <si>
    <t>TAG Portulaca Sunseeker Yellow 100/100 Pixie Tag</t>
  </si>
  <si>
    <t>TAG Portulaca Tequila Mix 100/100 Pixie Tag</t>
  </si>
  <si>
    <t>TAG Portulaca Toucan Fuchsia 100/100 Pixie Tag</t>
  </si>
  <si>
    <t>TAG Portulaca Toucan Scarlet Shades 100/100 Pixie Tag</t>
  </si>
  <si>
    <t>TAG Portulaca Variegata 100/100 Pixie Tag DO FUL</t>
  </si>
  <si>
    <t>TAG Portulaca White GENERIC 100/100 Pixie Tag</t>
  </si>
  <si>
    <t>TAG Portulaca Yellow GENERIC 100/100 Pixie Tag</t>
  </si>
  <si>
    <t>TAG Portulaca Yubi Apricot 100/100 Pixie Tag</t>
  </si>
  <si>
    <t>TAG Portulaca Yubi Scarlet 100/100 Pixie Tag</t>
  </si>
  <si>
    <t>TAG Potentilla Miss Willmott 25/25 Portrait Tag</t>
  </si>
  <si>
    <t>TAG Potentilla Nana Verna 100/100 Pixie Tag</t>
  </si>
  <si>
    <t>TAG Herb Burnet Poteri 100/100 Pixie Tag</t>
  </si>
  <si>
    <t>TAG Pothos Satin GENERIC 100/100 Pixie Tag</t>
  </si>
  <si>
    <t>TAG Pratia County Park 25/25 Portrait Tag</t>
  </si>
  <si>
    <t>TAG Primula Bonneli Series 100/100 Pixie Tag</t>
  </si>
  <si>
    <t>TAG Primula Danessa Mix 100/100 Pixie Tag</t>
  </si>
  <si>
    <t>TAG Primula Dania Series 100/100 Pixie Tag</t>
  </si>
  <si>
    <t>TAG Primula Danova Blue 100/100 Pixie Tag</t>
  </si>
  <si>
    <t>TAG Primula Danova Golden Yellow 100/100 Pixie Tag</t>
  </si>
  <si>
    <t>TAG Primula Danova Grower Select Mix 100/100 Pixie Tag</t>
  </si>
  <si>
    <t>TAG Primula Danova Mix 100/100 Pixie Tag</t>
  </si>
  <si>
    <t>TAG Primula Danova Mix Acaulis 100/100 Pixie Tag</t>
  </si>
  <si>
    <t>TAG Primula Danova Pink 100/100 Pixie Tag</t>
  </si>
  <si>
    <t>TAG Primula Danova Red 100/100 Pixie Tag</t>
  </si>
  <si>
    <t>TAG Primula Danova Series 100/100 Pixie Tag</t>
  </si>
  <si>
    <t>TAG Primula Danova White 100/100 Pixie Tag</t>
  </si>
  <si>
    <t>TAG Primula Elodie Series 100/100 Pixie Tag</t>
  </si>
  <si>
    <t>TAG Primula Fruelo Series 100/100 Pixie Tag</t>
  </si>
  <si>
    <t>TAG Primula Hethor Series 100/100 Pixie Tag</t>
  </si>
  <si>
    <t>TAG Primula Libre Mix 100/100 Pixie Tag SF</t>
  </si>
  <si>
    <t>TAG Primula Lighthouse Series 100/100 Pixie Tag</t>
  </si>
  <si>
    <t>TAG Primula Malacoides GENERIC 100/100 Pixie Tag</t>
  </si>
  <si>
    <t>TAG Primula Obconica GENERIC 100/100 Pixie Tag</t>
  </si>
  <si>
    <t>TAG Primula Optic Series Acaulis 100/100 Pixie Tag</t>
  </si>
  <si>
    <t>TAG Primula Pacific Coast Mix 100/100 Pixie Tag</t>
  </si>
  <si>
    <t>TAG Primula Pacific Giants Mix 100/100 Pixie Tag</t>
  </si>
  <si>
    <t>TAG Primula Piano Series 100/100 Pixie Tag</t>
  </si>
  <si>
    <t>TAG Primula Primera Mix 100/100 Pixie Tag SF</t>
  </si>
  <si>
    <t>TAG Primula Primlet Series 100/100 Pixie Tag</t>
  </si>
  <si>
    <t>TAG Primula Primrose GENERIC 100/100 Pixie Tag</t>
  </si>
  <si>
    <t>TAG Primula Sibel Series 100/100 Pixie Tag</t>
  </si>
  <si>
    <t>TAG Primula Supernova Mix 100/100 Pixie Tag</t>
  </si>
  <si>
    <t>TAG Primula Supernova Series 100/100 Pixie Tag</t>
  </si>
  <si>
    <t>TAG Prop Crop Marker 25/25 Portrait Tag</t>
  </si>
  <si>
    <t>TAG Ptilotus Joey 100/100 Pixie Tag</t>
  </si>
  <si>
    <t>TAG Ptilotus Matilda 100/100 Pixie Tag</t>
  </si>
  <si>
    <t>TAG Pulmonaria Mrs Moon Saccharata 25/25 Portrait Tag</t>
  </si>
  <si>
    <t>TAG Pulmonaria Raspberry Frost 25/25 Portrait Tag</t>
  </si>
  <si>
    <t>TAG Pulmonaria Raspberry Splash 25/25 Portrait Tag</t>
  </si>
  <si>
    <t>TAG Pulsatilla GENERIC Vulgaris 25/25 Portrait Tag</t>
  </si>
  <si>
    <t>TAG Pumpkin Atlantic Giant 100/100 Pixie Tag</t>
  </si>
  <si>
    <t>TAG Pumpkin Autumn Gold 100/100 Pixie Tag</t>
  </si>
  <si>
    <t>TAG Pumpkin Baby Bear 100/100 Pixie Tag</t>
  </si>
  <si>
    <t>TAG Pumpkin Big Max 100/100 Pixie Tag</t>
  </si>
  <si>
    <t>TAG Pumpkin Blue Prince 100/100 Pixie Tag</t>
  </si>
  <si>
    <t>TAG Pumpkin Cinderella's Carriage 100/100 Pixie Tag</t>
  </si>
  <si>
    <t>TAG Pumpkin Flat White Boer Ford 100/100 Pixie Tag</t>
  </si>
  <si>
    <t>TAG Pumpkin GENERIC 100/100 Pixie Tag</t>
  </si>
  <si>
    <t>TAG Pumpkin Hijinks 100/100 Pixie Tag</t>
  </si>
  <si>
    <t>TAG Pumpkin Howden 100/100 Pixie Tag</t>
  </si>
  <si>
    <t>TAG Pumpkin Jack Be Little 100/100 Pixie Tag</t>
  </si>
  <si>
    <t>TAG Pumpkin Jack O Lantern 100/100 Pixie Tag</t>
  </si>
  <si>
    <t>TAG Pumpkin Jack Sprat 100/100 Pixie Tag</t>
  </si>
  <si>
    <t>TAG Pumpkin Mini GENERIC 100/100 Pixie Tag</t>
  </si>
  <si>
    <t>TAG Pumpkin Orange Smoothie 100/100 Pixie Tag</t>
  </si>
  <si>
    <t>TAG Pumpkin Pie GENERIC 100/100 Pixie Tag</t>
  </si>
  <si>
    <t>TAG Pumpkin Prize Winner 100/100 Pixie Tag</t>
  </si>
  <si>
    <t>TAG Pumpkin Spooktacular 100/100 Pixie Tag</t>
  </si>
  <si>
    <t>TAG Pumpkin Super Moon 100/100 Pixie Tag</t>
  </si>
  <si>
    <t>TAG Pumpkin Warty Goblin 100/100 Pixie Tag</t>
  </si>
  <si>
    <t>TAG Pumpkin Wee B Little 100/100 Pixie Tag</t>
  </si>
  <si>
    <t>TAG Pumpkin White GENERIC 100/100 Pixie Tag</t>
  </si>
  <si>
    <t>TAG Radermachera China Doll GENERIC 100/100 Pixie Tag</t>
  </si>
  <si>
    <t>TAG Rainbo Mix Microgreens 100/100 Pixie Tag</t>
  </si>
  <si>
    <t>TAG Ranunculus Bloomingdale Mix 100/100 Pixie Tag</t>
  </si>
  <si>
    <t>TAG Ranunculus GENERIC 100/100 Pixie Tag</t>
  </si>
  <si>
    <t>TAG Ranunculus Bilingual GENERIC 100/100 Pixie Tag</t>
  </si>
  <si>
    <t>TAG Ranunculus Mache Bicolor Mix 100/100 Pixie Tag SF</t>
  </si>
  <si>
    <t>TAG Ranunculus Mache Chocolate 100/100 Pixie Tag SF</t>
  </si>
  <si>
    <t>TAG Ranunculus Mache Fire 100/100 Pixie Tag SF</t>
  </si>
  <si>
    <t>TAG Ranunculus Mache Lemon Rose Bicolor 100/100 Pixie Tag SF</t>
  </si>
  <si>
    <t>TAG Ranunculus Mache Orange 100/100 Pixie Tag SF</t>
  </si>
  <si>
    <t>TAG Ranunculus Mache Pastel Mix 100/100 Pixie Tag SF</t>
  </si>
  <si>
    <t>TAG Ranunculus Mache Pink 100/100 Pixie Tag SF</t>
  </si>
  <si>
    <t>TAG Ranunculus Mache Red 100/100 Pixie Tag SF</t>
  </si>
  <si>
    <t>TAG Ranunculus Mache Series 100/100 Pixie Tag SF</t>
  </si>
  <si>
    <t>TAG Ranunculus Mache White 100/100 Pixie Tag SF</t>
  </si>
  <si>
    <t>TAG Ranunculus Mache Yellow 100/100 Pixie Tag SF</t>
  </si>
  <si>
    <t>TAG Ranunculus Magic Fireball 100/100 Pixie Tag SF</t>
  </si>
  <si>
    <t>TAG Ranunculus Magic Series 100/100 Pixie Tag SF</t>
  </si>
  <si>
    <t>TAG Ranunculus Magic Yellow 100/100 Pixie Tag SF</t>
  </si>
  <si>
    <t>TAG Ranunculus Sprinkles Series 100/100 Pixie Tag</t>
  </si>
  <si>
    <t>TAG Radish Cherry Belle 100/100 Pixie Tag</t>
  </si>
  <si>
    <t>TAG Radish GENERIC 100/100 Pixie Tag</t>
  </si>
  <si>
    <t>TAG Ratibida Red Columnifera 25/25 Portrait Tag</t>
  </si>
  <si>
    <t>TAG Ravenea Majesty Palm 100/100 Pixie Tag</t>
  </si>
  <si>
    <t>TAG Rhodichtron Purple Bells 100/100 Pixie Tag</t>
  </si>
  <si>
    <t>TAG Rhododendron Azalea GENERIC 100/100 Pixie Tag</t>
  </si>
  <si>
    <t>TAG Rhubarb Canadian Red 100/100 Pixie Tag</t>
  </si>
  <si>
    <t>TAG Rhubarb GENERIC 25/25 Portrait Tag</t>
  </si>
  <si>
    <t>TAG Rhubarb Victoria 25/25 Portrait Tag</t>
  </si>
  <si>
    <t>TAG Ricinus Castor Bean GENERIC 100/100 Pixie Tag</t>
  </si>
  <si>
    <t>TAG Rosemary Arp 100/100 Pixie Tag</t>
  </si>
  <si>
    <t>TAG Rosemary Arp 25/25 Portrait Tag</t>
  </si>
  <si>
    <t>TAG Rosemary Arp CN5348 100/100 Pixie Tag DO FUL</t>
  </si>
  <si>
    <t>TAG Rosemary Barbeque 100/100 Pixie Tag</t>
  </si>
  <si>
    <t>TAG Rosemary Barbeque 25/25 Portrait Tag</t>
  </si>
  <si>
    <t>TAG Rosemary Boule Prostratus 100/100 Pixie Tag</t>
  </si>
  <si>
    <t>TAG Rosemary Creeping GENERIC 100/100 Pixie Tag</t>
  </si>
  <si>
    <t>TAG Rosemary Prostratus Creeping 100/100 Pixie Tag</t>
  </si>
  <si>
    <t>TAG Rosemary Prostratus Creeping 25/25 Portrait Tag</t>
  </si>
  <si>
    <t>TAG Rosemary GENERIC 100/100 Pixie Tag</t>
  </si>
  <si>
    <t>TAG Rosemary GENERIC 200/200 Thriftee Tag</t>
  </si>
  <si>
    <t>TAG Rosemary GENERIC 25/25 Portrait Tag</t>
  </si>
  <si>
    <t>TAG Rosemary Gorizia 100/100 Pixie Tag</t>
  </si>
  <si>
    <t>TAG Rosemary Gorizia 25/25 Portrait Tag</t>
  </si>
  <si>
    <t>TAG Rosemary Gorizia CN5349 100/100 Pixie Tag DO FUL</t>
  </si>
  <si>
    <t>TAG Rosemary Hardy Hill 100/100 Pixie Tag</t>
  </si>
  <si>
    <t>TAG Rosemary Huntington Carpet 25/25 Portrait Tag</t>
  </si>
  <si>
    <t>TAG Rosemary Irene 25/25 Portrait Tag</t>
  </si>
  <si>
    <t>TAG Rosemary Perigord 100/100 Pixie Tag</t>
  </si>
  <si>
    <t>TAG Rosemary Prostratus 100/100 Pixie Tag DO FUL</t>
  </si>
  <si>
    <t>TAG Rosemary Salem 100/100 Pixie Tag</t>
  </si>
  <si>
    <t>TAG Rosemary Salem 25/25 Portrait Tag</t>
  </si>
  <si>
    <t>TAG Rosemary Spice Island 25/25 Portrait Tag</t>
  </si>
  <si>
    <t>TAG Rosemary Tuscan Beauty 100/100 Pixie Tag DO FUL</t>
  </si>
  <si>
    <t>TAG Rosemary Tuscan Blue CN5351 100/100 Pixie Tag DO FUL</t>
  </si>
  <si>
    <t>TAG Rosemary Tuscan Blue 100/100 Pixie Tag</t>
  </si>
  <si>
    <t>TAG Rosemary Tuscan Blue 25/25 Portrait Tag</t>
  </si>
  <si>
    <t>TAG Rosemary Upright Blue GENERIC 100/100 Pixie Tag</t>
  </si>
  <si>
    <t>TAG Rosemary Upright Blue GENERIC 25/25 Portrait Tag</t>
  </si>
  <si>
    <t>TAG Rosmar Foxtail 25/25 Portrait Tag</t>
  </si>
  <si>
    <t>TAG Rosmar Hardy Hill 25/25 Portrait Tag</t>
  </si>
  <si>
    <t>TAG Rubus Blackberry GENERIC 25/25 Portrait Tag</t>
  </si>
  <si>
    <t>TAG Rubus Raspberry GENERIC 25/25 Portrait Tag</t>
  </si>
  <si>
    <t>TAG Rudbeckia Amarillo Gold 100/100 Pixie Tag</t>
  </si>
  <si>
    <t>TAG Rudbeckia American Gold Rush 25/25 Portrait Tag</t>
  </si>
  <si>
    <t>TAG Rudbeckia Autumn Colors 100/100 Pixie Tag</t>
  </si>
  <si>
    <t>TAG Rudbeckia Autumn Colors 25/25 Portrait Tag</t>
  </si>
  <si>
    <t>TAG Rudbeckia Becky Mix 100/100 Pixie Tag</t>
  </si>
  <si>
    <t>TAG Rudbeckia Becky Yellow 100/100 Pixie Tag</t>
  </si>
  <si>
    <t>TAG Rudbeckia Black Eyed Susan Hirta 25/25 Portrait Tag</t>
  </si>
  <si>
    <t>TAG Rudbeckia Cherokee Sunset 100/100 Pixie Tag</t>
  </si>
  <si>
    <t>TAG Rudbeckia Cherokee Sunset 25/25 Portrait Tag</t>
  </si>
  <si>
    <t>TAG Rudbeckia Cherry Brandy 100/100 Pixie Tag</t>
  </si>
  <si>
    <t>TAG Rudbeckia Cherry Brandy Hirta 25/25 Portrait Tag</t>
  </si>
  <si>
    <t>TAG Rudbeckia Cheyenne Gold 100/100 Pixie Tag</t>
  </si>
  <si>
    <t>TAG Rudbeckia Dakota Double Gold Hirta 25/25 Portrait Tag</t>
  </si>
  <si>
    <t>TAG Rudbeckia Dakota Flame Hirta 25/25 Portrait Tag</t>
  </si>
  <si>
    <t>TAG Rudbeckia Dakota Gold Hirta 25/25 Portrait Tag</t>
  </si>
  <si>
    <t>TAG Rudbeckia Dakota Red Shield Hirta 25/25 Portrait Tag</t>
  </si>
  <si>
    <t>TAG Rudbeckia Deamii Fulgida 25/25 Portrait Tag</t>
  </si>
  <si>
    <t>TAG Rudbeckia Denver Daisy 100/100 Pixie Tag</t>
  </si>
  <si>
    <t>TAG Rudbeckia Denver Daisy 25/25 Portrait Tag</t>
  </si>
  <si>
    <t>TAG Rudbeckia GENERIC 100/100 Pixie Tag</t>
  </si>
  <si>
    <t>TAG Rudbeckia Goldblitz 25/25 Portrait Tag</t>
  </si>
  <si>
    <t>TAG Rudbeckia Goldilocks 100/100 Pixie Tag</t>
  </si>
  <si>
    <t>TAG Rudbeckia Goldsturm 100/100 Pixie Tag</t>
  </si>
  <si>
    <t>TAG Rudbeckia Goldsturm 25/25 Portrait Tag</t>
  </si>
  <si>
    <t>TAG Rudbeckia Hybrid Hirta 100/100 Pixie Tag</t>
  </si>
  <si>
    <t>TAG Rudbeckia Indian Summer 100/100 Pixie Tag</t>
  </si>
  <si>
    <t>TAG Rudbeckia Indian Summer 25/25 Portrait Tag</t>
  </si>
  <si>
    <t>TAG Rudbeckia Irish Eyes 100/100 Pixie Tag</t>
  </si>
  <si>
    <t>TAG Rudbeckia Lion Cub 25/25 Portrait Tag</t>
  </si>
  <si>
    <t>TAG Rudbeckia Little Gold Star Fulgida 25/25 Portrait Tag</t>
  </si>
  <si>
    <t>TAG Rudbeckia Little Henry Subtomentosa 25/25 Portrait Tag</t>
  </si>
  <si>
    <t>TAG Rudbeckia Maya 100/100 Pixie Tag</t>
  </si>
  <si>
    <t>TAG Rudbeckia Pawnee Spirit 100/100 Pixie Tag</t>
  </si>
  <si>
    <t>TAG Rudbeckia Prairie Sun 100/100 Pixie Tag</t>
  </si>
  <si>
    <t>TAG Rudbeckia Prairie Sun 25/25 Portrait Tag</t>
  </si>
  <si>
    <t>TAG Rudbeckia Rising Sun Chestnut Gld 100/100 Pixie Tag</t>
  </si>
  <si>
    <t>TAG Rudbeckia Rising Sun Chestnut Gld 25/25 Portrait Tag</t>
  </si>
  <si>
    <t>TAG Rudbeckia Rodeo Double Red 100/100 Pixie Tag</t>
  </si>
  <si>
    <t>TAG Rudbeckia Rodeo Double Red 25/25 Portrait Tag</t>
  </si>
  <si>
    <t>TAG Rudbeckia Rustic Colors 100/100 Pixie Tag</t>
  </si>
  <si>
    <t>TAG Rudbeckia Smileyz Brilliant 25/25 Portrait Tag</t>
  </si>
  <si>
    <t>TAG Rudbeckia Smileyz Divine 25/25 Portrait Tag</t>
  </si>
  <si>
    <t>TAG Rudbeckia Smileyz Giggling 25/25 Portrait Tag</t>
  </si>
  <si>
    <t>TAG Rudbeckia Smileyz Glowing 25/25 Portrait Tag</t>
  </si>
  <si>
    <t>TAG Rudbeckia Smileyz Happy 25/25 Portrait Tag</t>
  </si>
  <si>
    <t>TAG Rudbeckia Smileyz Kissing 25/25 Portrait Tag</t>
  </si>
  <si>
    <t>TAG Rudbeckia Smileyz Laughing 25/25 Portrait Tag</t>
  </si>
  <si>
    <t>TAG Rudbeckia Smileyz Pk/Lmn 25/25 Portrait Tag</t>
  </si>
  <si>
    <t>TAG Rudbeckia Smileyz Speedy 25/25 Portrait Tag</t>
  </si>
  <si>
    <t>TAG Rudbeckia Smileyz Sunny 25/25 Portrait Tag</t>
  </si>
  <si>
    <t>TAG Rudbeckia Sonora 100/100 Pixie Tag</t>
  </si>
  <si>
    <t>TAG Rudbeckia Sonora 25/25 Portrait Tag</t>
  </si>
  <si>
    <t>TAG Rudbeckia Summer Sienna 100/100 Pixie Tag</t>
  </si>
  <si>
    <t>TAG Rudbeckia Sunbeckia Series 100/100 Pixie Tag</t>
  </si>
  <si>
    <t>TAG Rudbeckia Toto Gold 100/100 Pixie Tag</t>
  </si>
  <si>
    <t>TAG Rudbeckia Toto Gold 25/25 Portrait Tag</t>
  </si>
  <si>
    <t>TAG Rudbeckia Toto Lemon 100/100 Pixie Tag</t>
  </si>
  <si>
    <t>TAG Rudbeckia Toto Mix 100/100 Pixie Tag</t>
  </si>
  <si>
    <t>TAG Rudbeckia Toto Rustic 100/100 Pixie Tag</t>
  </si>
  <si>
    <t>TAG Rudbeckia Triloba 25/25 Portrait Tag</t>
  </si>
  <si>
    <t>TAG Rudbeckia Variegated Fulgida 25/25 Portrait Tag</t>
  </si>
  <si>
    <t>TAG Rudbeckia Viettes Little Suzy 25/25 Portrait Tag</t>
  </si>
  <si>
    <t>TAG Ruellia Katie's Dwarf 25/25 Portrait Tag</t>
  </si>
  <si>
    <t>TAG Ruellia Katie's Pink Brittoniana 25/25 Portrait Tag</t>
  </si>
  <si>
    <t>TAG Ruellia Katie's Purple Brittoniana 25/25 Portrait Tag</t>
  </si>
  <si>
    <t>TAG Ruellia Purple Showers Brittoniana 100/100 Pixie Tag</t>
  </si>
  <si>
    <t>TAG Ruellia Upright Purple GENERIC 100/100 Pixie Tag</t>
  </si>
  <si>
    <t>TAG Rumex French 100/100 Pixie Tag</t>
  </si>
  <si>
    <t>TAG Rumex Raspberry Dressing 25/25 Portrait Tag</t>
  </si>
  <si>
    <t>TAG Rumex Sanguineus 25/25 Portrait Tag</t>
  </si>
  <si>
    <t>TAG Rumex Sorrel GENERIC 100/100 Pixie Tag</t>
  </si>
  <si>
    <t>TAG Rungia Klossii Mushroom Plant 100/100 Pixie Tag</t>
  </si>
  <si>
    <t>TAG Rungia Klossii 25/25 Portrait Tag</t>
  </si>
  <si>
    <t>TAG Ruta Rue 100/100 Pixie Tag</t>
  </si>
  <si>
    <t>TAG Ruta Rue 25/25 Portrait Tag</t>
  </si>
  <si>
    <t>TAG Salvia Berggarten 100/100 Pixie Tag</t>
  </si>
  <si>
    <t>TAG Sage Berggarten 100/100 Pixie Tag DO FUL</t>
  </si>
  <si>
    <t>TAG Salvia Berggarten 25/25 Portrait Tag</t>
  </si>
  <si>
    <t>TAG Sagina Aurea Scotch Moss 25/25 Portrait Tag</t>
  </si>
  <si>
    <t>TAG Sagina Crispy Subulata 25/25 Portrait Tag</t>
  </si>
  <si>
    <t>TAG Sagina Irish Moss Subulata 25/25 Portrait Tag</t>
  </si>
  <si>
    <t>TAG Saintpaulia African Violet GENERIC 100/100 Pixie Tag</t>
  </si>
  <si>
    <t>TAG Saintpaulia Maxi Alice Red 50/50 Petite Portrait DO FUL</t>
  </si>
  <si>
    <t>TAG Saintpaulia Maxi Besar Blue White 50/50 Petite Portrait DO FUL</t>
  </si>
  <si>
    <t>TAG Saintpaulia Maxi Besar Light Blue White 50/50 Petite Portrait DO FUL</t>
  </si>
  <si>
    <t>TAG Saintpaulia Maxi Besar Pink White 50/50 Petite Portrait DO FUL</t>
  </si>
  <si>
    <t>TAG Saintpaulia Maxi Besar Red White 50/50 Petite Portrait DO FUL</t>
  </si>
  <si>
    <t>TAG Saintpaulia Maxi Bibi 50/50 Petite Portrait DO FUL</t>
  </si>
  <si>
    <t>TAG Saintpaulia Maxi Biru 50/50 Petite Portrait DO FUL</t>
  </si>
  <si>
    <t>TAG Saintpaulia Maxi Blue Eye 50/50 Petite Portrait DO FUL</t>
  </si>
  <si>
    <t>TAG Saintpaulia Maxi Carol 50/50 Petite Portrait DO FUL</t>
  </si>
  <si>
    <t>TAG Saintpaulia Maxi Catherina 50/50 Petite Portrait DO FUL</t>
  </si>
  <si>
    <t>TAG Saintpaulia Maxi Chico 50/50 Petite Portrait DO FUL</t>
  </si>
  <si>
    <t>TAG Saintpaulia Maxi Claudia 50/50 Petite Portrait DO FUL</t>
  </si>
  <si>
    <t>TAG Saintpaulia Maxi Curly Ocean 50/50 Petite Portrait DO FUL</t>
  </si>
  <si>
    <t>TAG Saintpaulia Maxi Elin 50/50 Petite Portrait DO FUL</t>
  </si>
  <si>
    <t>TAG Saintpaulia Maxi Fabia 50/50 Petite Portrait DO FUL</t>
  </si>
  <si>
    <t>TAG Saintpaulia Maxi Fleur 50/50 Petite Portrait DO FUL</t>
  </si>
  <si>
    <t>TAG Saintpaulia Maxi Floor 50/50 Petite Portrait DO FUL</t>
  </si>
  <si>
    <t>TAG Saintpaulia Maxi Gabby 50/50 Petite Portrait DO FUL</t>
  </si>
  <si>
    <t>TAG Saintpaulia Maxi Gloria 50/50 Petite Portrait DO FUL</t>
  </si>
  <si>
    <t>TAG Saintpaulia Maxi Iris 50/50 Petite Portrait DO FUL</t>
  </si>
  <si>
    <t>TAG Saintpaulia Maxi Jessica 50/50 Petite Portrait DO FUL</t>
  </si>
  <si>
    <t>TAG Saintpaulia Maxi Laura 50/50 Petite Portrait DO FUL</t>
  </si>
  <si>
    <t>TAG Saintpaulia Maxi Lena 50/50 Petite Portrait DO FUL</t>
  </si>
  <si>
    <t>TAG Saintpaulia Maxi Leticia 50/50 Petite Portrait DO FUL</t>
  </si>
  <si>
    <t>TAG Saintpaulia Maxi Lia 50/50 Petite Portrait DO FUL</t>
  </si>
  <si>
    <t>TAG Saintpaulia Maxi Lila Lana 50/50 Petite Portrait DO FUL</t>
  </si>
  <si>
    <t>TAG Saintpaulia Maxi Livia 50/50 Petite Portrait DO FUL</t>
  </si>
  <si>
    <t>TAG Saintpaulia Maxi Lizzy 50/50 Petite Portrait DO FUL</t>
  </si>
  <si>
    <t>TAG Saintpaulia Maxi Lotte 50/50 Petite Portrait DO FUL</t>
  </si>
  <si>
    <t>TAG Saintpaulia Maxi Marilyn 50/50 Petite Portrait DO FUL</t>
  </si>
  <si>
    <t>TAG Saintpaulia Maxi Meike 50/50 Petite Portrait DO FUL</t>
  </si>
  <si>
    <t>TAG Saintpaulia Maxi Patty 50/50 Petite Portrait DO FUL</t>
  </si>
  <si>
    <t>TAG Saintpaulia Maxi Puck 50/50 Petite Portrait DO FUL</t>
  </si>
  <si>
    <t>TAG Saintpaulia Maxi Rana 50/50 Petite Portrait DO FUL</t>
  </si>
  <si>
    <t>TAG Saintpaulia Maxi Rianne 50/50 Petite Portrait DO FUL</t>
  </si>
  <si>
    <t>TAG Saintpaulia Maxi Roccoco Pink 50/50 Petite Portrait DO FUL</t>
  </si>
  <si>
    <t>TAG Saintpaulia Maxi Roccoco White 50/50 Petite Portrait DO FUL</t>
  </si>
  <si>
    <t>TAG Saintpaulia Maxi Triton 50/50 Petite Portrait DO FUL</t>
  </si>
  <si>
    <t>TAG Saintpaulia Maxi Yasmin 50/50 Petite Portrait DO FUL</t>
  </si>
  <si>
    <t>TAG Saintpaulia Mini Dewi 50/50 Petite Portrait DO FUL</t>
  </si>
  <si>
    <t>TAG Saintpaulia Mini Jenny Blue 50/50 Petite Portrait DO FUL</t>
  </si>
  <si>
    <t>TAG Saintpaulia Mini Jenny Dark Pink 50/50 Petite Portrait DO FUL</t>
  </si>
  <si>
    <t>TAG Saintpaulia Mini Jenny Lilac 50/50 Petite Portrait DO FUL</t>
  </si>
  <si>
    <t>TAG Saintpaulia Mini Jenny Pink 50/50 Petite Portrait DO FUL</t>
  </si>
  <si>
    <t>TAG Saintpaulia Mini Lady 50/50 Petite Portrait DO FUL</t>
  </si>
  <si>
    <t>TAG Saintpaulia Mini Loni 50/50 Petite Portrait DO FUL</t>
  </si>
  <si>
    <t>TAG Saintpaulia Mini Rosi 50/50 Petite Portrait DO FUL</t>
  </si>
  <si>
    <t>TAG Saintpaulia Mini Sarah 50/50 Petite Portrait DO FUL</t>
  </si>
  <si>
    <t>TAG Saintpaulia Mini Sarah Lilac 50/50 Petite Portrait DO FUL</t>
  </si>
  <si>
    <t>TAG Herb Salicornia Europea Saltwort 100/100 Pixie Tag</t>
  </si>
  <si>
    <t>TAG Salpiglossis Royale Formula Mixture 100/100 Pixie Tag</t>
  </si>
  <si>
    <t>TAG Salpiglossis Royale Series 100/100 Pixie Tag</t>
  </si>
  <si>
    <t>TAG Salpiglossis GENERIC 100/100 Pixie Tag</t>
  </si>
  <si>
    <t>TAG Salvia Amante 25/25 Portrait Tag</t>
  </si>
  <si>
    <t>TAG Salvia Amethyst Lips 25/25 Portrait Tag</t>
  </si>
  <si>
    <t>TAG Salvia Amigo 100/100 Pixie Tag</t>
  </si>
  <si>
    <t>TAG Salvia Amistad 100/100 Pixie Tag</t>
  </si>
  <si>
    <t>TAG Salvia Angel Wings 100/100 Pixie Tag</t>
  </si>
  <si>
    <t>TAG Salvia Apex Blue Nemorosa 25/25 Portrait Tag</t>
  </si>
  <si>
    <t>TAG Salvia Apex Pink Nemorosa 25/25 Portrait Tag</t>
  </si>
  <si>
    <t>TAG Salvia Apex White Nemorosa 25/25 Portrait Tag</t>
  </si>
  <si>
    <t>TAG Salvia Apricot Spring 100/100 Pixie Tag</t>
  </si>
  <si>
    <t>TAG Salvia Argentea 25/25 Portrait Tag</t>
  </si>
  <si>
    <t>TAG Salvia Aurea 25/25 Portrait Tag</t>
  </si>
  <si>
    <t>TAG Salvia Berggarten Variegated 25/25 Portrait Tag</t>
  </si>
  <si>
    <t>TAG Salvia Big Blue 100/100 Pixie Tag</t>
  </si>
  <si>
    <t>TAG Salvia Blue Angel 100/100 Pixie Tag</t>
  </si>
  <si>
    <t>TAG Salvia Blue Bedder 100/100 Pixie Tag</t>
  </si>
  <si>
    <t>TAG Salvia Blue Bouquetta 25/25 Portrait Tag</t>
  </si>
  <si>
    <t>TAG Salvia Blue By You Nemorosa 25/25 Portrait Tag</t>
  </si>
  <si>
    <t>TAG Salvia Blue Hill 25/25 Portrait Tag</t>
  </si>
  <si>
    <t>TAG Salvia Blue Queen 100/100 Pixie Tag</t>
  </si>
  <si>
    <t>TAG Salvia Blue Queen 25/25 Portrait Tag</t>
  </si>
  <si>
    <t>TAG Salvia Black And Blue 50/50 Petite Portrait DO FUL</t>
  </si>
  <si>
    <t>TAG Salvia Black And Blue Guaranitica 100/100 Pixie Tag</t>
  </si>
  <si>
    <t>TAG Salvia Black And Blue Guaranitica 25/25 Portrait Tag</t>
  </si>
  <si>
    <t>TAG Salvia Blackberry Ripple 100/100 Pixie Tag</t>
  </si>
  <si>
    <t>TAG Salvia Blue Hill 100/100 Pixie Tag DO FUL</t>
  </si>
  <si>
    <t>TAG Salvia Blue Marvel 100/100 Pixie Tag DO FUL</t>
  </si>
  <si>
    <t>TAG Salvia Bodacious Hummingbird Falls 50/50 Petite Portrait DO FUL</t>
  </si>
  <si>
    <t>TAG Salvia Bonfire 100/100 Pixie Tag</t>
  </si>
  <si>
    <t>TAG Salvia Bonfire Elite 100/100 Pixie Tag</t>
  </si>
  <si>
    <t>TAG Salvia Bordeau Compact Rose 25/25 Portrait Tag</t>
  </si>
  <si>
    <t>TAG Salvia Bordeau Compact Sky Blue 25/25 Portrait Tag SF</t>
  </si>
  <si>
    <t>TAG Salvia Bordeau Deep Blue Nemorosa 25/25 Portrait Tag SF</t>
  </si>
  <si>
    <t>TAG Salvia Bordeau Rose 25/25 Portrait Tag</t>
  </si>
  <si>
    <t>TAG Salvia Bordeau Steel Blue 25/25 Portrait Tag</t>
  </si>
  <si>
    <t>TAG Salvia Bordeau White Nemorosa 25/25 Portrait Tag SF</t>
  </si>
  <si>
    <t>TAG Salvia Candle Midnight 100/100 Pixie Tag</t>
  </si>
  <si>
    <t>TAG Salvia Caradonna 100/100 Pixie Tag DO FUL</t>
  </si>
  <si>
    <t>TAG Salvia Caradonna 25/25 Portrait Tag</t>
  </si>
  <si>
    <t>TAG Salvia Caradonna Pink Inspirat 25/25 Portrait Tag</t>
  </si>
  <si>
    <t>TAG Salvia Caramia 100/100 Pixie Tag DO FUL</t>
  </si>
  <si>
    <t>TAG Salvia Caramia Rosa 100/100 Pixie Tag DO FUL</t>
  </si>
  <si>
    <t>TAG Salvia Cathedral Series 25/25 Portrait Tag</t>
  </si>
  <si>
    <t>TAG Salvia Celebration 100/100 Pixie Tag DO FUL</t>
  </si>
  <si>
    <t>TAG Salvia Cherry Lips 25/25 Portrait Tag</t>
  </si>
  <si>
    <t>TAG Salvia Cool Cream 100/100 Pixie Tag</t>
  </si>
  <si>
    <t>TAG Salvia Cool Pink 100/100 Pixie Tag</t>
  </si>
  <si>
    <t>TAG Salvia Cool Violet 100/100 Pixie Tag</t>
  </si>
  <si>
    <t>TAG Salvia Cuello Cream 100/100 Pixie Tag</t>
  </si>
  <si>
    <t>TAG Salvia Cuello Pink 100/100 Pixie Tag</t>
  </si>
  <si>
    <t>TAG Salvia Cuello White 100/100 Pixie Tag</t>
  </si>
  <si>
    <t>TAG Salvia Dark Matter Nemorosa 25/25 Portrait Tag</t>
  </si>
  <si>
    <t>TAG Salvia Day Glow 100/100 Pixie Tag</t>
  </si>
  <si>
    <t>TAG Salvia Dimension Bl Nemorosa 25/25 Portrait Tag</t>
  </si>
  <si>
    <t>TAG Salvia Dimension Rose Nemorosa 25/25 Portrait Tag</t>
  </si>
  <si>
    <t>TAG Salvia Dwarf GENERIC 100/100 Pixie Tag</t>
  </si>
  <si>
    <t>TAG Salvia Dwarf Purple GENERIC 100/100 Pixie Tag</t>
  </si>
  <si>
    <t>TAG Salvia Dwarf Red GENERIC 100/100 Pixie Tag</t>
  </si>
  <si>
    <t>TAG Salvia Early Bonfire 100/100 Pixie Tag</t>
  </si>
  <si>
    <t>TAG Salvia East Friesland 100/100 Pixie Tag DO FUL</t>
  </si>
  <si>
    <t>TAG Salvia East Friesland 25/25 Portrait Tag</t>
  </si>
  <si>
    <t>TAG Salvia Elegans Pineapple Sage 100/100 Pixie Tag DO FUL</t>
  </si>
  <si>
    <t>TAG Salvia Embers Wish 25/25 Portrait Tag</t>
  </si>
  <si>
    <t>TAG Salvia Evolution Violet 100/100 Pixie Tag</t>
  </si>
  <si>
    <t>TAG Salvia Evolution White 100/100 Pixie Tag</t>
  </si>
  <si>
    <t>TAG Salvia Fairy Queen 100/100 Pixie Tag</t>
  </si>
  <si>
    <t>TAG Salvia Farinacea GENERIC 100/100 Pixie Tag</t>
  </si>
  <si>
    <t>TAG Salvia Fashion Series 100/100 Pixie Tag</t>
  </si>
  <si>
    <t>TAG Salvia Flare 100/100 Pixie Tag</t>
  </si>
  <si>
    <t>TAG Salvia Flipside 100/100 Pixie Tag</t>
  </si>
  <si>
    <t>TAG Salvia Furmans Red Greggii 25/25 Portrait Tag</t>
  </si>
  <si>
    <t>TAG Salvia Garden Grey Sage 50/50 Petite Portrait DO FUL</t>
  </si>
  <si>
    <t>TAG Salvia Garden Leader Sage 100/100 Pixie Tag</t>
  </si>
  <si>
    <t>TAG Salvia Garden Sage GENERIC 100/100 Pixie Tag</t>
  </si>
  <si>
    <t>TAG Salvia Garden Sage Officinalis 100/100 Pixie Tag</t>
  </si>
  <si>
    <t>TAG Salvia Garden Sage Officinalis 200/200 Thriftee Tag</t>
  </si>
  <si>
    <t>TAG Salvia Garden Sage Officinalis 25/25 Portrait Tag</t>
  </si>
  <si>
    <t>TAG Salvia Salvia Bilingual GENERIC 100/100 Pixie Tag</t>
  </si>
  <si>
    <t>TAG Salvia Golden Rosiene 100/100 Pixie Tag</t>
  </si>
  <si>
    <t>TAG Salvia Grandstand Series 100/100 Pixie Tag</t>
  </si>
  <si>
    <t>TAG Salvia Grandstand Series 25/25 Portrait Tag</t>
  </si>
  <si>
    <t>TAG Salvia Greggii GENERIC 25/25 Portrait Tag</t>
  </si>
  <si>
    <t>TAG Salvia Growers Friend 100/100 Pixie Tag</t>
  </si>
  <si>
    <t>TAG Salvia Guaranitica GENERIC 100/100 Pixie Tag</t>
  </si>
  <si>
    <t>TAG Salvia Heatwave Blast 50/50 Petite Portrait DO FUL</t>
  </si>
  <si>
    <t>TAG Salvia Heatwave Blaze 50/50 Petite Portrait DO FUL</t>
  </si>
  <si>
    <t>TAG Salvia Heatwave Breeze 50/50 Petite Portrait DO FUL</t>
  </si>
  <si>
    <t>TAG Salvia Heatwave Glimmer 50/50 Petite Portrait DO FUL</t>
  </si>
  <si>
    <t>TAG Salvia Heatwave Glitter 50/50 Petite Portrait DO FUL</t>
  </si>
  <si>
    <t>TAG Salvia Heatwave Sparkle 50/50 Petite Portrait DO FUL</t>
  </si>
  <si>
    <t>TAG Salvia Honeydew Honey Melon 25/25 Portrait Tag</t>
  </si>
  <si>
    <t>TAG Salvia Hot Lips 100/100 Pixie Tag</t>
  </si>
  <si>
    <t>TAG Salvia Hot Lips 25/25 Portrait Tag</t>
  </si>
  <si>
    <t>TAG Salvia Hot Lips 50/50 Petite Portrait DO FUL</t>
  </si>
  <si>
    <t>TAG Salvia Hummingbird Coral 100/100 Pixie Tag</t>
  </si>
  <si>
    <t>TAG Salvia Hummingbird Forest Fire 100/100 Pixie Tag</t>
  </si>
  <si>
    <t>TAG Salvia Hummingbird Red 100/100 Pixie Tag</t>
  </si>
  <si>
    <t>TAG Salvia Hummingbird White 100/100 Pixie Tag</t>
  </si>
  <si>
    <t>TAG Salvia Hybrid GENERIC 100/100 Pixie Tag</t>
  </si>
  <si>
    <t>TAG Salvia Icon Blue Bicolor 50/50 Petite Portrait DO FUL</t>
  </si>
  <si>
    <t>TAG Salvia Icon Dark Blue 50/50 Petite Portrait DO FUL</t>
  </si>
  <si>
    <t>TAG Salvia Icon Glacier 50/50 Petite Portrait DO FUL</t>
  </si>
  <si>
    <t>TAG Salvia Icon Light Blue 50/50 Petite Portrait DO FUL</t>
  </si>
  <si>
    <t>TAG Salvia Icon Violet 50/50 Petite Portrait DO FUL</t>
  </si>
  <si>
    <t>TAG Salvia Icterina 100/100 Pixie Tag</t>
  </si>
  <si>
    <t>TAG Salvia Icterina 25/25 Portrait Tag</t>
  </si>
  <si>
    <t>TAG Salvia Icterina Sage 50/50 Petite Portrait DO FUL</t>
  </si>
  <si>
    <t>TAG Salvia Kate Glenn Nemorosa 25/25 Portrait Tag</t>
  </si>
  <si>
    <t>TAG Salvia Kisses And Wishes 25/25 Portrait Tag</t>
  </si>
  <si>
    <t>TAG Salvia Lady In Red 100/100 Pixie Tag</t>
  </si>
  <si>
    <t>TAG Salvia Lancelot Canariensis 100/100 Pixie Tag</t>
  </si>
  <si>
    <t>TAG Salvia Lemon Pie Greggii 100/100 Pixie Tag</t>
  </si>
  <si>
    <t>TAG Salvia Lighthouse 100/100 Pixie Tag</t>
  </si>
  <si>
    <t>TAG Salvia Lighthouse Purple 100/100 Pixie Tag</t>
  </si>
  <si>
    <t>TAG Salvia Lipstick 50/50 Petite Portrait DO FUL</t>
  </si>
  <si>
    <t>TAG Salvia Love And Wishes 25/25 Portrait Tag</t>
  </si>
  <si>
    <t>TAG Salvia Lyrical Blues Nemorosa 25/25 Portrait Tag</t>
  </si>
  <si>
    <t>TAG Salvia Lyrical Rose Nemorosa 25/25 Portrait Tag</t>
  </si>
  <si>
    <t>TAG Salvia Lyrical Silvertone 25/25 Portrait Tag</t>
  </si>
  <si>
    <t>TAG Salvia Lyrical White Nemorosa 25/25 Portrait Tag</t>
  </si>
  <si>
    <t>TAG Salvia Maestro 100/100 Pixie Tag</t>
  </si>
  <si>
    <t>TAG Salvia Marcus 100/100 Pixie Tag DO FUL</t>
  </si>
  <si>
    <t>TAG Salvia Marcus Nemorosa 25/25 Portrait Tag</t>
  </si>
  <si>
    <t>TAG Salvia Marvel Blue Nemorosa 25/25 Portrait Tag</t>
  </si>
  <si>
    <t>TAG Salvia Marvel Rose Nemorosa 25/25 Portrait Tag</t>
  </si>
  <si>
    <t>TAG Salvia Marvel Sky Blue Nemorosa 25/25 Portrait Tag</t>
  </si>
  <si>
    <t>TAG Salvia May Night 100/100 Pixie Tag DO FUL</t>
  </si>
  <si>
    <t>TAG Salvia May Night 25/25 Portrait Tag</t>
  </si>
  <si>
    <t>TAG Salvia May Night 50/50 Petite Portrait DO FUL</t>
  </si>
  <si>
    <t>TAG Salvia Medium Red GENERIC 100/100 Pixie Tag</t>
  </si>
  <si>
    <t>TAG Salvia Merleau Blue Nemorosa 25/25 Portrait Tag SF</t>
  </si>
  <si>
    <t>TAG Salvia Merleau Rose Nemorosa 25/25 Portrait Tag SF</t>
  </si>
  <si>
    <t>TAG Salvia Mexican 100/100 Pixie Tag</t>
  </si>
  <si>
    <t>TAG Salvia Mexican Bush Sage 100/100 Pixie Tag</t>
  </si>
  <si>
    <t>TAG Salvia Mexican Bush Sage 25/25 Portrait Tag</t>
  </si>
  <si>
    <t>TAG Salvia Midnight Purple 100/100 Pixie Tag DO FUL</t>
  </si>
  <si>
    <t>TAG Salvia Midnight Rose 100/100 Pixie Tag DO FUL</t>
  </si>
  <si>
    <t>TAG Salvia Mirage Blue Greggii 25/25 Portrait Tag</t>
  </si>
  <si>
    <t>TAG Salvia Mirage Burgundy Greggii 25/25 Portrait Tag</t>
  </si>
  <si>
    <t>TAG Salvia Mirage Cherry Red Greggii 25/25 Portrait Tag</t>
  </si>
  <si>
    <t>TAG Salvia Mirage Deep Purple Greggii 25/25 Portrait Tag</t>
  </si>
  <si>
    <t>TAG Salvia Mirage Hot Pink Greggii 25/25 Portrait Tag</t>
  </si>
  <si>
    <t>TAG Salvia Mirage Pink Greggii 25/25 Portrait Tag</t>
  </si>
  <si>
    <t>TAG Salvia Mirage Rose Bicolor Greggii 25/25 Portrait Tag</t>
  </si>
  <si>
    <t>TAG Salvia Mirage Rose Neon Greggii 25/25 Portrait Tag</t>
  </si>
  <si>
    <t>TAG Salvia Mirage Salmon Greggii 25/25 Portrait Tag</t>
  </si>
  <si>
    <t>TAG Salvia Mirage Violet Greggii 25/25 Portrait Tag</t>
  </si>
  <si>
    <t>TAG Salvia Mirage White Greggii 25/25 Portrait Tag</t>
  </si>
  <si>
    <t>TAG Salvia Mojave Mix 100/100 Pixie Tag SF</t>
  </si>
  <si>
    <t>TAG Salvia Mojave Purple 100/100 Pixie Tag SF</t>
  </si>
  <si>
    <t>TAG Salvia Mojave Red 100/100 Pixie Tag SF</t>
  </si>
  <si>
    <t>TAG Salvia Mojave Red And White Bicolor 100/100 Pixie Tag SF</t>
  </si>
  <si>
    <t>TAG Salvia Mojave Salmon 100/100 Pixie Tag SF</t>
  </si>
  <si>
    <t>TAG Salvia Mojave White 100/100 Pixie Tag SF</t>
  </si>
  <si>
    <t>TAG Salvia Naturally Fuchsia 100/100 Pixie Tag</t>
  </si>
  <si>
    <t>TAG Salvia Nemorosa GENERIC 25/25 Portrait Tag</t>
  </si>
  <si>
    <t>TAG Salvia Noble Knight 100/100 Pixie Tag DO FUL</t>
  </si>
  <si>
    <t>TAG Salvia Noche 100/100 Pixie Tag DO FUL</t>
  </si>
  <si>
    <t>TAG Salvia Nymph Coral 100/100 Pixie Tag</t>
  </si>
  <si>
    <t>TAG Salvia Nymph White 100/100 Pixie Tag</t>
  </si>
  <si>
    <t>TAG Salvia Oriental Dove 100/100 Pixie Tag</t>
  </si>
  <si>
    <t>TAG Salvia Patio Deep Blue 100/100 Pixie Tag</t>
  </si>
  <si>
    <t>TAG Salvia Patio Sky Blue 100/100 Pixie Tag</t>
  </si>
  <si>
    <t>TAG Salvia Peach Cobbler Greggii 100/100 Pixie Tag</t>
  </si>
  <si>
    <t>TAG Salvia Pineapple 100/100 Pixie Tag</t>
  </si>
  <si>
    <t>TAG Salvia Pineapple 25/25 Portrait Tag</t>
  </si>
  <si>
    <t>TAG Salvia Pink Mulberry 100/100 Pixie Tag</t>
  </si>
  <si>
    <t>TAG Salvia Pink Nebula 25/25 Portrait Tag</t>
  </si>
  <si>
    <t>TAG Salvia Pink Pong 100/100 Pixie Tag</t>
  </si>
  <si>
    <t>TAG Salvia Pinkish Red 100/100 Pixie Tag</t>
  </si>
  <si>
    <t>TAG Salvia Purple 100/100 Pixie Tag</t>
  </si>
  <si>
    <t>TAG Salvia Purple 25/25 Portrait Tag</t>
  </si>
  <si>
    <t>TAG Salvia Purpurascens Sage 100/100 Pixie Tag DO FUL</t>
  </si>
  <si>
    <t>TAG Salvia Red Greggii 100/100 Pixie Tag</t>
  </si>
  <si>
    <t>TAG Salvia Red Hot Sally II 100/100 Pixie Tag</t>
  </si>
  <si>
    <t>TAG Salvia Reddy Series 100/100 Pixie Tag</t>
  </si>
  <si>
    <t>TAG Salvia Rhea 100/100 Pixie Tag SF</t>
  </si>
  <si>
    <t>TAG Salvia Rose Queen Nemorosa 100/100 Pixie Tag</t>
  </si>
  <si>
    <t>TAG Salvia Salgoon Series 100/100 Pixie Tag</t>
  </si>
  <si>
    <t>TAG Salvia Sallyfun Bicolor Blue 100/100 Pixie Tag</t>
  </si>
  <si>
    <t>TAG Salvia Sallyfun Blue Emotion 100/100 Pixie Tag</t>
  </si>
  <si>
    <t>TAG Salvia Sallyfun Blue Ice 100/100 Pixie Tag</t>
  </si>
  <si>
    <t>TAG Salvia Sallyfun Blue Lagoon 100/100 Pixie Tag</t>
  </si>
  <si>
    <t>TAG Salvia Sallyfun Deep Ocean 100/100 Pixie Tag</t>
  </si>
  <si>
    <t>TAG Salvia Sallyfun Pure White 100/100 Pixie Tag</t>
  </si>
  <si>
    <t>TAG Salvia Sallyfun Series 100/100 Pixie Tag</t>
  </si>
  <si>
    <t>TAG Salvia Sallyfun Sky Blue 100/100 Pixie Tag</t>
  </si>
  <si>
    <t>TAG Salvia Sallyfun XL Blue 100/100 Pixie Tag</t>
  </si>
  <si>
    <t>TAG Salvia Sallyrosa April Night 25/25 Portrait Tag</t>
  </si>
  <si>
    <t>TAG Salvia Sallyrosa Jumbo Pink 25/25 Portrait Tag</t>
  </si>
  <si>
    <t>TAG Salvia Salsa Mix 100/100 Pixie Tag</t>
  </si>
  <si>
    <t>TAG Salvia Salsa Purple 100/100 Pixie Tag</t>
  </si>
  <si>
    <t>TAG Salvia Salsa Scarlet 100/100 Pixie Tag</t>
  </si>
  <si>
    <t>TAG Salvia Salute Blue Limited Availability 100/100 Pixie Tag DO FUL</t>
  </si>
  <si>
    <t>TAG Salvia Salute Deep Blue 100/100 Pixie Tag DO FUL</t>
  </si>
  <si>
    <t>TAG Salvia Salute Deep Blue Limited Availability 50/50 Petite Portrait DO FUL</t>
  </si>
  <si>
    <t>TAG Salvia Salute Ice Blue 100/100 Pixie Tag DO FUL</t>
  </si>
  <si>
    <t>TAG Salvia Salute Light Pink 100/100 Pixie Tag DO FUL</t>
  </si>
  <si>
    <t>TAG Salvia Salute Neon Pink 100/100 Pixie Tag DO FUL</t>
  </si>
  <si>
    <t>TAG Salvia Salute Pink 50/50 Petite Portrait DO FUL</t>
  </si>
  <si>
    <t>TAG Salvia Salute White 100/100 Pixie Tag DO FUL</t>
  </si>
  <si>
    <t>TAG Salvia Salvatore Blue Nemorosa 25/25 Portrait Tag</t>
  </si>
  <si>
    <t>TAG Salvia Santa Barbara Leucantha 100/100 Pixie Tag</t>
  </si>
  <si>
    <t>TAG Salvia Santa Barbara Leucantha 25/25 Portrait Tag</t>
  </si>
  <si>
    <t>TAG Salvia Saucy Coral 100/100 Pixie Tag</t>
  </si>
  <si>
    <t>TAG Salvia Saucy Purple 100/100 Pixie Tag</t>
  </si>
  <si>
    <t>TAG Salvia Saucy Red 100/100 Pixie Tag</t>
  </si>
  <si>
    <t>TAG Salvia Saucy Wine 100/100 Pixie Tag</t>
  </si>
  <si>
    <t>TAG Salvia Scarlet Tangerine 25/25 Portrait Tag</t>
  </si>
  <si>
    <t>TAG Salvia Sensation Compact Deep Blue 25/25 Portrait Tag</t>
  </si>
  <si>
    <t>TAG Salvia Sensation Deep Rose 25/25 Portrait Tag</t>
  </si>
  <si>
    <t>TAG Salvia Sentry Red 100/100 Pixie Tag SF</t>
  </si>
  <si>
    <t>TAG Salvia Silver Scent 25/25 Portrait Tag</t>
  </si>
  <si>
    <t>TAG Salvia Sizzler Burgundy 100/100 Pixie Tag SF</t>
  </si>
  <si>
    <t>TAG Salvia Sizzler Burgundy Halo 100/100 Pixie Tag SF</t>
  </si>
  <si>
    <t>TAG Salvia Sizzler Mix 100/100 Pixie Tag SF</t>
  </si>
  <si>
    <t>TAG Salvia Sizzler Purple 100/100 Pixie Tag SF</t>
  </si>
  <si>
    <t>TAG Salvia Sizzler Red 100/100 Pixie Tag SF</t>
  </si>
  <si>
    <t>TAG Salvia Sizzler Salmon 100/100 Pixie Tag SF</t>
  </si>
  <si>
    <t>TAG Salvia Sizzler White 100/100 Pixie Tag SF</t>
  </si>
  <si>
    <t>TAG Salvia Snow Hill 25/25 Portrait Tag</t>
  </si>
  <si>
    <t>TAG Salvia Snow Hill 50/50 Petite Portrait DO FUL</t>
  </si>
  <si>
    <t>TAG Salvia Snowflakes 100/100 Pixie Tag</t>
  </si>
  <si>
    <t>TAG Salvia So Cool Pale Blue 25/25 Portrait Tag</t>
  </si>
  <si>
    <t>TAG Salvia Spring King 100/100 Pixie Tag DO FUL</t>
  </si>
  <si>
    <t>TAG Salvia Spring King Mini 100/100 Pixie Tag DO FUL</t>
  </si>
  <si>
    <t>TAG Salvia Spring King Mini Rose 100/100 Pixie Tag DO FUL</t>
  </si>
  <si>
    <t>TAG Salvia St John's Fire 100/100 Pixie Tag</t>
  </si>
  <si>
    <t>TAG Salvia Strata 100/100 Pixie Tag</t>
  </si>
  <si>
    <t>TAG Salvia Summer Jewel Lavender 100/100 Pixie Tag</t>
  </si>
  <si>
    <t>TAG Salvia Summer Jewel Mix 100/100 Pixie Tag</t>
  </si>
  <si>
    <t>TAG Salvia Summer Jewel Pink 100/100 Pixie Tag</t>
  </si>
  <si>
    <t>TAG Salvia Summer Jewel Red 100/100 Pixie Tag</t>
  </si>
  <si>
    <t>TAG Salvia Summer Jewel White 100/100 Pixie Tag</t>
  </si>
  <si>
    <t>TAG Salvia Swifty Rose Multiflora 25/25 Portrait Tag</t>
  </si>
  <si>
    <t>TAG Salvia Swifty Rose Nemorosa 25/25 Portrait Tag</t>
  </si>
  <si>
    <t>TAG Salvia Swifty Violet Blue Nemorosa 25/25 Portrait Tag</t>
  </si>
  <si>
    <t>TAG Salvia Swifty Violet Multiflora 25/25 Portrait Tag</t>
  </si>
  <si>
    <t>TAG Salvia Swifty White Nemorosa 25/25 Portrait Tag</t>
  </si>
  <si>
    <t>TAG Salvia Tall Purple GENERIC 100/100 Pixie Tag</t>
  </si>
  <si>
    <t>TAG Salvia Tall Red GENERIC 100/100 Pixie Tag</t>
  </si>
  <si>
    <t>TAG Salvia Tanami Series 100/100 Pixie Tag</t>
  </si>
  <si>
    <t>TAG Salvia Transylvanica 25/25 Portrait Tag</t>
  </si>
  <si>
    <t>TAG Salvia Tricolor 100/100 Pixie Tag</t>
  </si>
  <si>
    <t>TAG Salvia Tricolor 25/25 Portrait Tag</t>
  </si>
  <si>
    <t>TAG Salvia Tricolor Sage 100/100 Pixie Tag DO FUL</t>
  </si>
  <si>
    <t>TAG Salvia Vanilla Cream 100/100 Pixie Tag</t>
  </si>
  <si>
    <t>TAG Salvia Velocity Blue 50/50 Petite Portrait SF FUL</t>
  </si>
  <si>
    <t>TAG Salvia Vibe Ignition Fuchsia 50/50 Petite Portrait DO FUL</t>
  </si>
  <si>
    <t>TAG Salvia Vibe Ignition Purple 50/50 Petite Portrait DO FUL</t>
  </si>
  <si>
    <t>TAG Salvia Vibe Ignition White 50/50 Petite Portrait DO FUL</t>
  </si>
  <si>
    <t>TAG Salvia Victoria Blue 100/100 Pixie Tag SF</t>
  </si>
  <si>
    <t>TAG Salvia Victoria White 100/100 Pixie Tag SF</t>
  </si>
  <si>
    <t>TAG Salvia Vista Lavender 100/100 Pixie Tag</t>
  </si>
  <si>
    <t>TAG Salvia Vista Mix 100/100 Pixie Tag</t>
  </si>
  <si>
    <t>TAG Salvia Vista Purple 100/100 Pixie Tag</t>
  </si>
  <si>
    <t>TAG Salvia Vista Red 100/100 Pixie Tag</t>
  </si>
  <si>
    <t>TAG Salvia Vista Red/White 100/100 Pixie Tag</t>
  </si>
  <si>
    <t>TAG Salvia Vista Rose 100/100 Pixie Tag</t>
  </si>
  <si>
    <t>TAG Salvia Vista Salmon 100/100 Pixie Tag</t>
  </si>
  <si>
    <t>TAG Salvia Vista White 100/100 Pixie Tag</t>
  </si>
  <si>
    <t>TAG Salvia Wendy's Wish 25/25 Portrait Tag</t>
  </si>
  <si>
    <t>TAG Salvia Wendy's Wish 50/50 Petite Portrait DO FUL</t>
  </si>
  <si>
    <t>TAG Salvia White Full Moon 100/100 Pixie Tag</t>
  </si>
  <si>
    <t>TAG Sansevieria Bird's Nest 100/100 Pixie Tag</t>
  </si>
  <si>
    <t>TAG Sansevieria Cylindrica 100/100 Pixie Tag</t>
  </si>
  <si>
    <t>TAG Sansevieria Laurentii 100/100 Pixie Tag</t>
  </si>
  <si>
    <t>TAG Sansevieria Snake Plant GENERIC 100/100 Pixie Tag</t>
  </si>
  <si>
    <t>TAG Santolina Chamaecyparissus 25/25 Portrait Tag</t>
  </si>
  <si>
    <t>TAG Santolina Gray 100/100 Pixie Tag</t>
  </si>
  <si>
    <t>TAG Santolina Green 100/100 Pixie Tag</t>
  </si>
  <si>
    <t>TAG Santolina Grey Lavender Cotton 100/100 Pixie Tag DO FUL</t>
  </si>
  <si>
    <t>TAG Santolina Rosmarinifolia 25/25 Portrait Tag</t>
  </si>
  <si>
    <t>TAG Sanvitalia Aztec Gold 100/100 Pixie Tag</t>
  </si>
  <si>
    <t>TAG Sanvitalia Mandarin Orange 100/100 Pixie Tag</t>
  </si>
  <si>
    <t>TAG Sanvitalia Million Suns 100/100 Pixie Tag</t>
  </si>
  <si>
    <t>TAG Sanvitalia Powerbini 100/100 Pixie Tag</t>
  </si>
  <si>
    <t>TAG Sanvitalia Queen Of Sunlight 100/100 Pixie Tag</t>
  </si>
  <si>
    <t>TAG Sanvitalia Solaris Yellow 100/100 Pixie Tag</t>
  </si>
  <si>
    <t>TAG Sanvitalia Sunvy Super Gold 50/50 Petite Portrait DO FUL</t>
  </si>
  <si>
    <t>TAG Sanvitalia Sunvy Top Gold 50/50 Petite Portrait DO FUL</t>
  </si>
  <si>
    <t>TAG Sanvitalia Sunvy Trailing 50/50 Petite Portrait DO FUL</t>
  </si>
  <si>
    <t>TAG Sanvitalia Talya Bright 100/100 Pixie Tag</t>
  </si>
  <si>
    <t>TAG Sanvitalia Talya Great Yellow 100/100 Pixie Tag</t>
  </si>
  <si>
    <t>TAG Sanvitalia Talya Sunny 100/100 Pixie Tag</t>
  </si>
  <si>
    <t>TAG Sanvitalia Yellow GENERIC 100/100 Pixie Tag</t>
  </si>
  <si>
    <t>TAG Saponaria Ocymoides 25/25 Portrait Tag</t>
  </si>
  <si>
    <t>TAG Saponaria Saponaria GENERIC 100/100 Pixie Tag</t>
  </si>
  <si>
    <t>TAG Satureja Summer Savory Compact 25/25 Portrait Tag</t>
  </si>
  <si>
    <t>TAG Satureja Winter Savory 25/25 Portrait Tag</t>
  </si>
  <si>
    <t>TAG Saxifraga Alpino Early Carmine 25/25 Portrait Tag SF</t>
  </si>
  <si>
    <t>TAG Saxifraga Alpino Early Carnival 25/25 Portrait Tag SF</t>
  </si>
  <si>
    <t>TAG Saxifraga Alpino Early Carnival 50/50 Petite Portrait SF FUL</t>
  </si>
  <si>
    <t>TAG Saxifraga Alpino Early Deep Red 25/25 Portrait Tag</t>
  </si>
  <si>
    <t>TAG Saxifraga Alpino Early Lime 25/25 Portrait Tag SF</t>
  </si>
  <si>
    <t>TAG Saxifraga Alpino Early Magic Salmon 25/25 Portrait Tag SF</t>
  </si>
  <si>
    <t>TAG Saxifraga Alpino Early Picotee 25/25 Portrait Tag SF</t>
  </si>
  <si>
    <t>TAG Saxifraga Alpino Early Picotee 50/50 Petite Portrait SF FUL</t>
  </si>
  <si>
    <t>TAG Saxifraga Alpino Early Rose 25/25 Portrait Tag SF</t>
  </si>
  <si>
    <t>TAG Saxifraga Alpino Early White 50/50 Petite Portrait SF FUL</t>
  </si>
  <si>
    <t>TAG Saxifraga Lofty Dark Rose Shades 25/25 Portrait Tag SF</t>
  </si>
  <si>
    <t>TAG Saxifraga Lofty Pink Shades Arendsii 25/25 Portrait Tag SF</t>
  </si>
  <si>
    <t>TAG Saxifraga Lofty White Blush Arendsii 25/25 Portrait Tag SF</t>
  </si>
  <si>
    <t>TAG Saxifraga Marto Hot Rose 25/25 Portrait Tag</t>
  </si>
  <si>
    <t>TAG Saxifraga Marto Red 25/25 Portrait Tag</t>
  </si>
  <si>
    <t>TAG Saxifraga Marto Red Picotee 25/25 Portrait Tag</t>
  </si>
  <si>
    <t>TAG Saxifraga Marto Rose 25/25 Portrait Tag</t>
  </si>
  <si>
    <t>TAG Saxifraga Purple Robe Arendsii 25/25 Portrait Tag</t>
  </si>
  <si>
    <t>TAG Saxifraga Rockfoil GENERIC 100/100 Pixie Tag</t>
  </si>
  <si>
    <t>TAG Saxifraga Scenic Red 100/100 Pixie Tag DO FUL</t>
  </si>
  <si>
    <t>TAG Saxifraga Scenic White 100/100 Pixie Tag DO FUL</t>
  </si>
  <si>
    <t>TAG Saxifraga Touran Deep Red 50/50 Petite Portrait SF FUL</t>
  </si>
  <si>
    <t>TAG Saxifraga Touran Deep Red Arendsii 25/25 Portrait Tag SF</t>
  </si>
  <si>
    <t>TAG Saxifraga Touran Large White 50/50 Petite Portrait SF FUL</t>
  </si>
  <si>
    <t>TAG Saxifraga Touran Lime Green Arendsii 25/25 Portrait Tag SF</t>
  </si>
  <si>
    <t>TAG Saxifraga Touran Pink 50/50 Pixie Tag SF FUL</t>
  </si>
  <si>
    <t>TAG Saxifraga Touran Pink Arendsii 25/25 Portrait Tag SF</t>
  </si>
  <si>
    <t>TAG Saxifraga Touran Red 25/25 Portrait Tag</t>
  </si>
  <si>
    <t>TAG Saxifraga Touran Red 50/50 Petite Portrait SF FUL</t>
  </si>
  <si>
    <t>TAG Saxifraga Touran Scarlet Arendsii 25/25 Portrait Tag SF</t>
  </si>
  <si>
    <t>TAG Saxifraga Touran White Arendsii 25/25 Portrait Tag SF</t>
  </si>
  <si>
    <t>TAG Scabiosa Blue Note Columbaria 25/25 Portrait Tag</t>
  </si>
  <si>
    <t>TAG Scabiosa Butterfly Blue 100/100 Pixie Tag DO FUL</t>
  </si>
  <si>
    <t>TAG Scabiosa Butterfly Blue 25/25 Portrait Tag</t>
  </si>
  <si>
    <t>TAG Scabiosa Diamonds Pink Japonica 25/25 Portrait Tag</t>
  </si>
  <si>
    <t>TAG Scabiosa Fama Caucasica 100/100 Pixie Tag</t>
  </si>
  <si>
    <t>TAG Scabiosa Fama Deep Blue Caucasica 25/25 Portrait Tag</t>
  </si>
  <si>
    <t>TAG Scabiosa Flutter Deep Blue 100/100 Pixie Tag DO FUL</t>
  </si>
  <si>
    <t>TAG Scabiosa Flutter Deep Blue 25/25 Portrait Tag</t>
  </si>
  <si>
    <t>TAG Scabiosa Flutter Pure White 25/25 Portrait Tag</t>
  </si>
  <si>
    <t>TAG Scabiosa Flutter Rose Pink 100/100 Pixie Tag DO FUL</t>
  </si>
  <si>
    <t>TAG Scabiosa Flutter Rose Pink 25/25 Portrait Tag</t>
  </si>
  <si>
    <t>TAG Scabiosa Giga Blue Columbaria 25/25 Portrait Tag</t>
  </si>
  <si>
    <t>TAG Scabiosa Giga Pink Columbaria 25/25 Portrait Tag</t>
  </si>
  <si>
    <t>TAG Scabiosa Giga Silver Columbaria 25/25 Portrait Tag</t>
  </si>
  <si>
    <t>TAG Scabiosa GENERIC 100/100 Pixie Tag</t>
  </si>
  <si>
    <t>TAG Scabiosa Kudo Pink Incisa 25/25 Portrait Tag</t>
  </si>
  <si>
    <t>TAG Scabiosa Nova Dew Drops 25/25 Portrait Tag</t>
  </si>
  <si>
    <t>TAG Scabiosa Pincushion Flower GENERIC 25/25 Portrait Tag</t>
  </si>
  <si>
    <t>TAG Scabiosa Pink Mist 100/100 Pixie Tag DO FUL</t>
  </si>
  <si>
    <t>TAG Scabiosa Pink Mist Columbaria 25/25 Portrait Tag</t>
  </si>
  <si>
    <t>TAG Scabiosa Ritz Blue Japonica 25/25 Portrait Tag</t>
  </si>
  <si>
    <t>TAG Scabiosa Ritz Rose Japonica 25/25 Portrait Tag</t>
  </si>
  <si>
    <t>TAG Scabiosa Vivid Violet 25/25 Portrait Tag</t>
  </si>
  <si>
    <t>TAG Scaevola Blessing Lavender 100/100 Pixie Tag</t>
  </si>
  <si>
    <t>TAG Scaevola Blessing Bicolor Lavender 100/100 Pixie Tag</t>
  </si>
  <si>
    <t>TAG Scaevola Blue Wind 100/100 Pixie Tag</t>
  </si>
  <si>
    <t>TAG Scaevola Bombay Compact Dark Blue 50/50 Petite Portrait SF FUL</t>
  </si>
  <si>
    <t>TAG Scaevola Bombay Dark Blue 50/50 Petite Portrait SF FUL</t>
  </si>
  <si>
    <t>TAG Scaevola Bombay Pink 50/50 Petite Portrait SF FUL</t>
  </si>
  <si>
    <t>TAG Scaevola Bombay Platinum 50/50 Petite Portrait SF FUL</t>
  </si>
  <si>
    <t>TAG Scaevola Bombay White 50/50 Petite Portrait SF FUL</t>
  </si>
  <si>
    <t>TAG Scaevola Bombay Yellow 50/50 Petite Portrait SF FUL</t>
  </si>
  <si>
    <t>TAG Scaevola Brilliant 50/50 Petite Portrait DO FUL</t>
  </si>
  <si>
    <t>TAG Scaevola Diamond 100/100 Pixie Tag</t>
  </si>
  <si>
    <t>TAG Scaevola Fancy 50/50 Petite Portrait DO FUL</t>
  </si>
  <si>
    <t>TAG Scaevola GENERIC 100/100 Hang Tag</t>
  </si>
  <si>
    <t>TAG Scaevola GENERIC 100/100 Pixie Tag</t>
  </si>
  <si>
    <t>TAG Scaevola Pink Blessing 100/100 Pixie Tag</t>
  </si>
  <si>
    <t>TAG Scaevola Purple Haze 100/100 Pixie Tag</t>
  </si>
  <si>
    <t>TAG Scaevola Saphira 100/100 Pixie Tag</t>
  </si>
  <si>
    <t>TAG Scaevola Scala Blue 50/50 Petite Portrait DO FUL</t>
  </si>
  <si>
    <t>TAG Scaevola Scala Blue Bird 50/50 Petite Portrait DO FUL</t>
  </si>
  <si>
    <t>TAG Scaevola Scala Blue Jay 50/50 Petite Portrait DO FUL</t>
  </si>
  <si>
    <t>TAG Scaevola Scala Blue Shades 50/50 Petite Portrait DO FUL</t>
  </si>
  <si>
    <t>TAG Scaevola Scala Cappelo Purple 50/50 Petite Portrait DO FUL</t>
  </si>
  <si>
    <t>TAG Scaevola Scala Cappelo White 50/50 Petite Portrait DO FUL</t>
  </si>
  <si>
    <t>TAG Scaevola Scala Pink 50/50 Petite Portrait DO FUL</t>
  </si>
  <si>
    <t>TAG Scaevola Scala Pink Bird 50/50 Petite Portrait DO FUL</t>
  </si>
  <si>
    <t>TAG Scaevola Scala Purple Bird 50/50 Petite Portrait DO FUL</t>
  </si>
  <si>
    <t>TAG Scaevola Scala White 50/50 Petite Portrait DO FUL</t>
  </si>
  <si>
    <t>TAG Scaevola Scala White DO FULve 50/50 Petite Portrait DO FUL</t>
  </si>
  <si>
    <t>TAG Scaevola Scalora Brilliant 100/100 Pixie Tag DO</t>
  </si>
  <si>
    <t>TAG Scaevola Scalora Brilliant 50/50 Petite Portrait DO FUL</t>
  </si>
  <si>
    <t>TAG Scaevola Scalora Diamond 100/100 Pixie Tag DO</t>
  </si>
  <si>
    <t>TAG Scaevola Scalora Diamond 50/50 Petite Portrait DO FUL</t>
  </si>
  <si>
    <t>TAG Scaevola Scalora Dark Violet 100/100 Pixie Tag</t>
  </si>
  <si>
    <t>TAG Scaevola Scalora Fancy 100/100 Pixie Tag DO</t>
  </si>
  <si>
    <t>TAG Scaevola Scalora Fancy 50/50 Petite Portrait DO FUL</t>
  </si>
  <si>
    <t>TAG Scaevola Scalora Glitzy 100/100 Pixie Tag DO</t>
  </si>
  <si>
    <t>TAG Scaevola Scalora Pearl 100/100 Pixie Tag DO</t>
  </si>
  <si>
    <t>TAG Scaevola Scalora Purple 100/100 Pixie Tag</t>
  </si>
  <si>
    <t>TAG Scaevola Scalora Suntastic 100/100 Pixie Tag DO</t>
  </si>
  <si>
    <t>TAG Scaevola Scalora Suntastic 50/50 Petite Portrait DO FUL</t>
  </si>
  <si>
    <t>TAG Scaevola Scalora Top Pot Blue 50/50 Petite Portrait DO FUL</t>
  </si>
  <si>
    <t>TAG Scaevola Scalora Top Pot Pink 50/50 Petite Portrait DO FUL</t>
  </si>
  <si>
    <t>TAG Scaevola Scalora Top Pot White 50/50 Petite Portrait DO FUL</t>
  </si>
  <si>
    <t>TAG Scaevola Scalora Topaz Pink 100/100 Pixie Tag DO</t>
  </si>
  <si>
    <t>TAG Scaevola Scampi Series 100/100 Pixie Tag</t>
  </si>
  <si>
    <t>TAG Scaevola Top Pot Blue 50/50 Petite Portrait DO FUL</t>
  </si>
  <si>
    <t>TAG Scaevola Top Pot Pink 50/50 Petite Portrait SF FUL</t>
  </si>
  <si>
    <t>TAG Scaevola Top Pot White 50/50 Petite Portrait SF FUL</t>
  </si>
  <si>
    <t>TAG Scaevola Top Pot Yellow 50/50 Petite Portrait DO FUL</t>
  </si>
  <si>
    <t>TAG Scaevola Topaz Pink 100/100 Pixie Tag</t>
  </si>
  <si>
    <t>TAG Scaevola Top Pot Blue 100/100 Pixie Tag</t>
  </si>
  <si>
    <t>TAG Scaevola Top Pot Pink 100/100 Pixie Tag</t>
  </si>
  <si>
    <t>TAG Scaevola Top Pot White 100/100 Pixie Tag</t>
  </si>
  <si>
    <t>TAG Scaevola Top Pot Yellow 100/100 Pixie Tag</t>
  </si>
  <si>
    <t>TAG Scaevola Touch Baby Pink 100/100 Pixie Tag</t>
  </si>
  <si>
    <t>TAG Scaevola Touch Blue 100/100 Pixie Tag</t>
  </si>
  <si>
    <t>TAG Scaevola Touch Indigo 100/100 Pixie Tag</t>
  </si>
  <si>
    <t>TAG Scaevola Touch White 100/100 Pixie Tag</t>
  </si>
  <si>
    <t>TAG Scaevola White GENERIC 100/100 Pixie Tag</t>
  </si>
  <si>
    <t>TAG Schefflera Arboricola 100/100 Pixie Tag</t>
  </si>
  <si>
    <t>TAG Schefflera Umbrella Tree 100/100 Pixie Tag</t>
  </si>
  <si>
    <t>TAG Schefflera Variegata Arboricola 100/100 Pixie Tag</t>
  </si>
  <si>
    <t>TAG Schiza Atlantis Series 100/100 Pixie Tag</t>
  </si>
  <si>
    <t>TAG Schizanthus GENERIC 100/100 Pixie Tag</t>
  </si>
  <si>
    <t>TAG Schizanthus Prairie Blues 25/25 Portrait Tag</t>
  </si>
  <si>
    <t>TAG Schizanthus The Blues 25/25 Portrait Tag</t>
  </si>
  <si>
    <t>TAG Scilla Caribbean Jewels Bonaire 50/50 Petite Portrait DO FUL</t>
  </si>
  <si>
    <t>TAG Scilla Caribbean Jewels Saphire Blue 50/50 Petite Portrait DO FUL</t>
  </si>
  <si>
    <t>TAG Scutte Pink 25/25 Portrait Tag</t>
  </si>
  <si>
    <t>TAG Sedeve Letizia 100/100 Pixie Tag DO FUL</t>
  </si>
  <si>
    <t>TAG Sedum Acre 25/25 Portrait Tag</t>
  </si>
  <si>
    <t>TAG Sedum Adolphii 100/100 Pixie Tag DO FUL</t>
  </si>
  <si>
    <t>TAG Sedum After Dark 25/25 Portrait Tag</t>
  </si>
  <si>
    <t>TAG Sedum Angelina 100/100 Pixie Tag</t>
  </si>
  <si>
    <t>TAG Sedum Angelina 25/25 Portrait Tag</t>
  </si>
  <si>
    <t>TAG Sedum Atlantis Takesimense 25/25 Portrait Tag</t>
  </si>
  <si>
    <t>TAG Sedum Aurea Goldmoss Acre 25/25 Portrait Tag</t>
  </si>
  <si>
    <t>TAG Sedum Aurora Blue 100/100 Pixie Tag DO FUL</t>
  </si>
  <si>
    <t>TAG Sedum Autumn Fire 100/100 Pixie Tag DO FUL</t>
  </si>
  <si>
    <t>TAG Sedum Autumn Fire 25/25 Portrait Tag</t>
  </si>
  <si>
    <t>TAG Sedum Autumn Joy 100/100 Pixie Tag DO FUL</t>
  </si>
  <si>
    <t>TAG Sedum Autumn Joy 25/25 Portrait Tag</t>
  </si>
  <si>
    <t>TAG Sedum Banana Split 100/100 Pixie Tag DO FUL</t>
  </si>
  <si>
    <t>TAG Sedum Blue Carpet 25/25 Portrait Tag</t>
  </si>
  <si>
    <t>TAG Sedum Blue Spruce 100/100 Pixie Tag</t>
  </si>
  <si>
    <t>TAG Sedum Blue Spruce 25/25 Portrait Tag</t>
  </si>
  <si>
    <t>TAG Sedum Blue Spruce 100/100 Pixie Tag DO FUL</t>
  </si>
  <si>
    <t>TAG Sedum Blue Spruce 50/50 Petite Portrait DO FUL</t>
  </si>
  <si>
    <t>TAG Sedum Brilliant Spectabile 25/25 Portrait Tag</t>
  </si>
  <si>
    <t>TAG Sedum Burro's Tail Morganianum 100/100 Pixie Tag</t>
  </si>
  <si>
    <t>TAG Sedum Candy Cherry Truffle 25/25 Portrait Tag</t>
  </si>
  <si>
    <t>TAG Sedum Cape Blanco 25/25 Portrait Tag</t>
  </si>
  <si>
    <t>TAG Sedum Carnicolor 100/100 Pixie Tag DO FUL</t>
  </si>
  <si>
    <t>TAG Sedum Cauticola 25/25 Portrait Tag</t>
  </si>
  <si>
    <t>TAG Sedum Chocolate Ball Hakonense 25/25 Portrait Tag</t>
  </si>
  <si>
    <t>TAG Sedum Chocolate Cherry Telephium 25/25 Portrait Tag</t>
  </si>
  <si>
    <t>TAG Sedum Chocolate Ball 100/100 Pixie Tag DO FUL</t>
  </si>
  <si>
    <t>TAG Sedum Class Act 25/25 Portrait Tag</t>
  </si>
  <si>
    <t>TAG Sedum Coca Cola Cauticola 25/25 Portrait Tag</t>
  </si>
  <si>
    <t>TAG Sedum Conga Line 25/25 Portrait Tag</t>
  </si>
  <si>
    <t>TAG Sedum Coppertone Sedum 100/100 Pixie Tag</t>
  </si>
  <si>
    <t>TAG Sedum Coral Carpet Album 25/25 Portrait Tag</t>
  </si>
  <si>
    <t>TAG Sedum Coral Reef 100/100 Pixie Tag</t>
  </si>
  <si>
    <t>TAG Sedum Coral Reef 25/25 Portrait Tag</t>
  </si>
  <si>
    <t>TAG Sedum Crystal Pink 25/25 Portrait Tag</t>
  </si>
  <si>
    <t>TAG Sedum Cutting Edge 25/25 Portrait Tag</t>
  </si>
  <si>
    <t>TAG Sedum Dark Magic 25/25 Portrait Tag</t>
  </si>
  <si>
    <t>TAG Sedum Double Martini 25/25 Portrait Tag</t>
  </si>
  <si>
    <t>TAG Sedum Dragon's Blood 100/100 Pixie Tag DO FUL</t>
  </si>
  <si>
    <t>TAG Sedum Dragon's Blood Spurium 100/100 Pixie Tag</t>
  </si>
  <si>
    <t>TAG Sedum Dragon's Blood Spurium 25/25 Portrait Tag</t>
  </si>
  <si>
    <t>TAG Sedum Ellacombianum 25/25 Portrait Tag</t>
  </si>
  <si>
    <t>TAG Sedum Ewersii 100/100 Pixie Tag DO FUL</t>
  </si>
  <si>
    <t>TAG Sedum Fuldaglut Spurium 25/25 Portrait Tag</t>
  </si>
  <si>
    <t>TAG Sedum GENERIC 100/100 Pixie Tag</t>
  </si>
  <si>
    <t>TAG Sedum Golden Carpet Takesimense 25/25 Portrait Tag</t>
  </si>
  <si>
    <t>TAG Sedum Glitterbug 25/25 Portrait Tag</t>
  </si>
  <si>
    <t>TAG Sedum Gold Dust 25/25 Portrait Tag</t>
  </si>
  <si>
    <t>TAG Sedum Gold Digger Sexangulare 25/25 Portrait Tag</t>
  </si>
  <si>
    <t>TAG Sedum Green Roses 100/100 Pixie Tag</t>
  </si>
  <si>
    <t>TAG Sedum Houseplant Types GENERIC 100/100 Pixie Tag</t>
  </si>
  <si>
    <t>TAG Sedum John Creech 25/25 Portrait Tag</t>
  </si>
  <si>
    <t>TAG Sedum Kamtschaticum 25/25 Portrait Tag</t>
  </si>
  <si>
    <t>TAG Sedum Lemon Ball 100/100 Pixie Tag</t>
  </si>
  <si>
    <t>TAG Sedum Lemon Ball 25/25 Portrait Tag</t>
  </si>
  <si>
    <t>TAG Sedum Limelight 25/25 Portrait Tag</t>
  </si>
  <si>
    <t>TAG Sedum Little Missy 25/25 Portrait Tag</t>
  </si>
  <si>
    <t>TAG Sedum Lizard Rubens 25/25 Portrait Tag</t>
  </si>
  <si>
    <t>TAG Sedum Low Growing GENERIC 25/25 Portrait Tag</t>
  </si>
  <si>
    <t>TAG Sedum Lucidum 100/100 Pixie Tag DO FUL</t>
  </si>
  <si>
    <t>TAG Sedum Mahogany Red 25/25 Portrait Tag</t>
  </si>
  <si>
    <t>TAG Sedum Majestic Kiss 25/25 Portrait Tag</t>
  </si>
  <si>
    <t>TAG Sedum Major Dasyphyllum 25/25 Portrait Tag</t>
  </si>
  <si>
    <t>TAG Sedum Makinoi 25/25 Portrait Tag</t>
  </si>
  <si>
    <t>TAG Sedum Matrona 25/25 Portrait Tag</t>
  </si>
  <si>
    <t>TAG Sedum Matrona 50/50 Petite Portrait DO FUL</t>
  </si>
  <si>
    <t>TAG Sedum Mediovariegatum 50/50 Petite Portrait DO FUL</t>
  </si>
  <si>
    <t>TAG Sedum Morganianum 100/100 Pixie Tag DO FUL</t>
  </si>
  <si>
    <t>TAG Sedum Mr Goodbud Cauticola 25/25 Portrait Tag</t>
  </si>
  <si>
    <t>TAG Sedum Neon Spectabile 25/25 Portrait Tag</t>
  </si>
  <si>
    <t>TAG Sedum Night Embers 25/25 Portrait Tag</t>
  </si>
  <si>
    <t>TAG Sedum Night Light 25/25 Portrait Tag</t>
  </si>
  <si>
    <t>TAG Sedum Nova Cherry Fizz 25/25 Portrait Tag</t>
  </si>
  <si>
    <t>TAG Sedum Nussbaumerianum 100/100 Pixie Tag DO FUL</t>
  </si>
  <si>
    <t>TAG Sedum October Daphne Sieboldii 25/25 Portrait Tag</t>
  </si>
  <si>
    <t>TAG Sedum Ogon 25/25 Portrait Tag</t>
  </si>
  <si>
    <t>TAG Sedum Oracle Forsterianum 25/25 Portrait Tag</t>
  </si>
  <si>
    <t>TAG Sedum Pachyclados 25/25 Portrait Tag</t>
  </si>
  <si>
    <t>TAG Sedum Painted Pebble 25/25 Portrait Tag</t>
  </si>
  <si>
    <t>TAG Sedum Party Hardy Birthday Party 25/25 Portrait Tag</t>
  </si>
  <si>
    <t>TAG Sedum Peach Pearls 25/25 Portrait Tag</t>
  </si>
  <si>
    <t>TAG Sedum Pink Jelly Beans Aurora 100/100 Pixie Tag</t>
  </si>
  <si>
    <t>TAG Sedum Prima Angelina 25/25 Portrait Tag</t>
  </si>
  <si>
    <t>TAG Sedum Red Carpet Spurium 25/25 Portrait Tag</t>
  </si>
  <si>
    <t>TAG Sedum Rock Garden Blend 100/100 Pixie Tag</t>
  </si>
  <si>
    <t>TAG Sedum Rosy Cheeks 25/25 Portrait Tag</t>
  </si>
  <si>
    <t>TAG Sedum Royal Pink 25/25 Portrait Tag</t>
  </si>
  <si>
    <t>TAG Sedum Sea Urchin Lineare 100/100 Pixie Tag</t>
  </si>
  <si>
    <t>TAG Sedum Sexangulare 25/25 Portrait Tag</t>
  </si>
  <si>
    <t>TAG Sedum Shamrock 25/25 Portrait Tag</t>
  </si>
  <si>
    <t>TAG Sedum Sieboldii Limited Availability 50/50 Petite Portrait DO FUL</t>
  </si>
  <si>
    <t>TAG Sedum Sieboldii Mediovar 25/25 Portrait Tag</t>
  </si>
  <si>
    <t>TAG Sedum Silver Drops 100/100 Pixie Tag</t>
  </si>
  <si>
    <t>TAG Sedum Silver Roses 100/100 Pixie Tag</t>
  </si>
  <si>
    <t>TAG Sedum Silver Stone 25/25 Portrait Tag</t>
  </si>
  <si>
    <t>TAG Sedum SunSparkler Blue Elf 25/25 Portrait Tag</t>
  </si>
  <si>
    <t>TAG Sedum SunSparkler Blue Elf Limited Availability 100/100 Pixie Tag DO FUL</t>
  </si>
  <si>
    <t>TAG Sedum SunSparkler Cherry Tart 100/100 Pixie Tag DO FUL</t>
  </si>
  <si>
    <t>TAG Sedum SunSparkler Cherry Tart 25/25 Portrait Tag</t>
  </si>
  <si>
    <t>TAG Sedum SunSparkler Dazzleberry 100/100 Pixie Tag DO FUL</t>
  </si>
  <si>
    <t>TAG Sedum SunSparkler Dazzleberry 25/25 Portrait Tag</t>
  </si>
  <si>
    <t>TAG Sedum SunSparkler Dream Dazzler 25/25 Portrait Tag</t>
  </si>
  <si>
    <t>TAG Sedum SunSparkler Firecracker 100/100 Pixie Tag DO FUL</t>
  </si>
  <si>
    <t>TAG Sedum SunSparkler Firecracker 25/25 Portrait Tag</t>
  </si>
  <si>
    <t>TAG Sedum SunSparkler Jade Tuffet 25/25 Portrait Tag</t>
  </si>
  <si>
    <t>TAG Sedum SunSparkler Lime Twister 25/25 Portrait Tag</t>
  </si>
  <si>
    <t>TAG Sedum SunSparkler Lime Twister Limited Availability 100/100 Pixie Tag DO FUL</t>
  </si>
  <si>
    <t>TAG Sedum SunSparkler Lime Zinger 100/100 Pixie Tag DO FUL</t>
  </si>
  <si>
    <t>TAG Sedum SunSparkler Lime Zinger 25/25 Portrait Tag</t>
  </si>
  <si>
    <t>TAG Sedum SunSparkler Plum Dazzled 100/100 Pixie Tag DO FUL</t>
  </si>
  <si>
    <t>TAG Sedum SunSparkler Plum Dazzled 25/25 Portrait Tag</t>
  </si>
  <si>
    <t>TAG Sedum SunSparkler Wildfire 100/100 Pixie Tag DO FUL</t>
  </si>
  <si>
    <t>TAG Sedum SunSparkler Wildfire 25/25 Portrait Tag</t>
  </si>
  <si>
    <t>TAG Sedum Spectacular 25/25 Portrait Tag</t>
  </si>
  <si>
    <t>TAG Sedum Spirit Selskianum 25/25 Portrait Tag</t>
  </si>
  <si>
    <t>TAG Sedum Spot On Deep Rose 50/50 Petite Portrait SF FUL</t>
  </si>
  <si>
    <t>TAG Sedum Spot On Deep Rose Spurium 25/25 Portrait Tag SF</t>
  </si>
  <si>
    <t>TAG Sedum Spot On Pink Spurium 25/25 Portrait Tag SF</t>
  </si>
  <si>
    <t>TAG Sedum Spot On Red 25/25 Portrait Tag</t>
  </si>
  <si>
    <t>TAG Sedum Strawberry Milkshake 25/25 Portrait Tag</t>
  </si>
  <si>
    <t>TAG Sedum Summer Glory Spurium 25/25 Portrait Tag</t>
  </si>
  <si>
    <t>TAG Sedum Tall GENERIC 25/25 Portrait Tag</t>
  </si>
  <si>
    <t>TAG Sedum Thunderhead 25/25 Portrait Tag</t>
  </si>
  <si>
    <t>TAG Sedum Touchdown Teak 25/25 Portrait Tag</t>
  </si>
  <si>
    <t>TAG Sedum Tricolor 100/100 Pixie Tag DO FUL</t>
  </si>
  <si>
    <t>TAG Sedum Tricolor 25/25 Portrait Tag</t>
  </si>
  <si>
    <t>TAG Sedum Tricolor Limited Availability 50/50 Petite Portrait DO FUL</t>
  </si>
  <si>
    <t>TAG Sedum Turkish Delight 25/25 Portrait Tag</t>
  </si>
  <si>
    <t>TAG Sedum Variegatum 100/100 Pixie Tag</t>
  </si>
  <si>
    <t>TAG Sedum Variegatum 25/25 Portrait Tag</t>
  </si>
  <si>
    <t>TAG Sedum Variegatum CN5388 100/100 Pixie Tag DO FUL</t>
  </si>
  <si>
    <t>TAG Sedum Vera Jameson 25/25 Portrait Tag</t>
  </si>
  <si>
    <t>TAG Sedum Voodoo Spurium 25/25 Portrait Tag</t>
  </si>
  <si>
    <t>TAG Sedum Weihenstephaner Gold 100/100 Pixie Tag</t>
  </si>
  <si>
    <t>TAG Sedum Weihenstephaner Gold 25/25 Portrait Tag</t>
  </si>
  <si>
    <t>TAG Sedum What A Doozie 25/25 Portrait Tag</t>
  </si>
  <si>
    <t>TAG Sedum Yellow Bouquet 100/100 Pixie Tag</t>
  </si>
  <si>
    <t>TAG Sedum Yellow Diamonds 25/25 Portrait Tag</t>
  </si>
  <si>
    <t>TAG Sempervivum Arachnoideum 100/100 Pixie Tag DO FUL</t>
  </si>
  <si>
    <t>TAG Sempervivum Black 25/25 Portrait Tag</t>
  </si>
  <si>
    <t>TAG Sempervivum Calcareum 100/100 Pixie Tag DO FUL</t>
  </si>
  <si>
    <t>TAG Sempervivum Carmen 25/25 Portrait Tag</t>
  </si>
  <si>
    <t>TAG Sempervivum Caucasicum 100/100 Pixie Tag DO FUL</t>
  </si>
  <si>
    <t>TAG Sempervivum Cobweb Arachnoideum 25/25 Portrait Tag</t>
  </si>
  <si>
    <t>TAG Sempervivum Commander Hay 25/25 Portrait Tag</t>
  </si>
  <si>
    <t>TAG Sempervivum Ebro 100/100 Pixie Tag DO FUL</t>
  </si>
  <si>
    <t>TAG Sempervivum Green 100/100 Pixie Tag</t>
  </si>
  <si>
    <t>TAG Sempervivum Green Wheel 25/25 Portrait Tag</t>
  </si>
  <si>
    <t>TAG Sempervivum Hardy Species Mix 100/100 Pixie Tag</t>
  </si>
  <si>
    <t>TAG Sempervivum Hardy Species Mix 25/25 Portrait Tag</t>
  </si>
  <si>
    <t>TAG Sempervivum Hippie Chicks 25/25 Portrait Tag</t>
  </si>
  <si>
    <t>TAG Sempervivum Hopewell 25/25 Portrait Tag</t>
  </si>
  <si>
    <t>TAG Sempervivum Jade Rose 25/25 Portrait Tag</t>
  </si>
  <si>
    <t>TAG Sempervivum Kalinda 100/100 Pixie Tag DO FUL</t>
  </si>
  <si>
    <t>TAG Sempervivum Kalinda 25/25 Portrait Tag</t>
  </si>
  <si>
    <t>TAG Sempervivum Koeban 100/100 Pixie Tag DO FUL</t>
  </si>
  <si>
    <t>TAG Sempervivum Mix GENERIC 100/100 Pixie Tag</t>
  </si>
  <si>
    <t>TAG Sempervivum Mix GENERIC 25/25 Portrait Tag</t>
  </si>
  <si>
    <t>TAG Sempervivum Moezel 100/100 Pixie Tag DO FUL</t>
  </si>
  <si>
    <t>TAG Sempervivum Neva 100/100 Pixie Tag DO FUL</t>
  </si>
  <si>
    <t>TAG Sempervivum Red 100/100 Pixie Tag</t>
  </si>
  <si>
    <t>TAG Sempervivum Red Beauty 100/100 Pixie Tag DO FUL</t>
  </si>
  <si>
    <t>TAG Sempervivum Red Beauty 25/25 Portrait Tag</t>
  </si>
  <si>
    <t>TAG Sempervivum Royal Ruby 25/25 Portrait Tag</t>
  </si>
  <si>
    <t>TAG Sempervivum Ruby Heart 25/25 Portrait Tag</t>
  </si>
  <si>
    <t>TAG Sempervivum Silver King 25/25 Portrait Tag</t>
  </si>
  <si>
    <t>TAG Sempervivum Silverine 25/25 Portrait Tag</t>
  </si>
  <si>
    <t>TAG Sempervivum Spring Beauty 25/25 Portrait Tag</t>
  </si>
  <si>
    <t>TAG Sempervivum Sunset 100/100 Pixie Tag DO FUL</t>
  </si>
  <si>
    <t>TAG Sempervivum Sunset 25/25 Portrait Tag</t>
  </si>
  <si>
    <t>TAG Sempervivum Tiber 100/100 Pixie Tag DO FUL</t>
  </si>
  <si>
    <t>TAG Sempervivum Wolga 100/100 Pixie Tag DO FUL</t>
  </si>
  <si>
    <t>TAG Sempervivum Yukon 100/100 Pixie Tag DO FUL</t>
  </si>
  <si>
    <t>TAG Senecio Angel Wings 25/25 Portrait Tag</t>
  </si>
  <si>
    <t>TAG Senecio Blue Barbertonicus 100/100 Pixie Tag</t>
  </si>
  <si>
    <t>TAG Senecio Blue Mandraliscae 100/100 Pixie Tag</t>
  </si>
  <si>
    <t>TAG Senecio Cineraria GENERIC 100/100 Pixie Tag</t>
  </si>
  <si>
    <t>TAG Senecio Crassissimus 100/100 Pixie Tag DO FUL</t>
  </si>
  <si>
    <t>TAG Senecio Dusty Miller Cirrus 100/100 Pixie Tag</t>
  </si>
  <si>
    <t>TAG Senecio Dusty Miller Look 100/100 Pixie Tag</t>
  </si>
  <si>
    <t>TAG Senecio Dusty Miller Silver Gleam 100/100 Pixie Tag</t>
  </si>
  <si>
    <t>TAG Senecio Dusty Miller Silver Lace 100/100 Pixie Tag</t>
  </si>
  <si>
    <t>TAG Senecio Dusty Miller Silverado 100/100 Pixie Tag</t>
  </si>
  <si>
    <t>TAG Senecio Dusty Miller Silverdust 100/100 Pixie Tag</t>
  </si>
  <si>
    <t>TAG Senecio Dusty Miller Snow Storm 100/100 Pixie Tag</t>
  </si>
  <si>
    <t>TAG Senecio Dusty Miller Winter Whispers 100/100 Pixie Tag</t>
  </si>
  <si>
    <t>TAG Senecio Dusty Miller Bilingual GENERIC 100/100 Pixie Tag</t>
  </si>
  <si>
    <t>TAG Senecio German Ivy GENERIC 100/100 Pixie Tag</t>
  </si>
  <si>
    <t>TAG Senecio Himalaya 100/100 Pixie Tag DO FUL</t>
  </si>
  <si>
    <t>TAG Senecio King Solomon 100/100 Pixie Tag</t>
  </si>
  <si>
    <t>TAG Senecio Macroglossus Variegatum 100/100 Pixie Tag</t>
  </si>
  <si>
    <t>TAG Senecio Mandala Blue Charme 50/50 Petite Portrait DO FUL</t>
  </si>
  <si>
    <t>TAG Senecio Mandala Pink Bicolor 50/50 Petite Portrait DO FUL</t>
  </si>
  <si>
    <t>TAG Senecio Mandala Plus Bl Charme 50/50 Petite Portrait DO FUL</t>
  </si>
  <si>
    <t>TAG Senecio Mandala Plus Rose 50/50 Petite Portrait DO FUL</t>
  </si>
  <si>
    <t>TAG Senecio Mandala Plus Royal Blue 50/50 Petite Portrait DO FUL</t>
  </si>
  <si>
    <t>TAG Senecio Mandala Plus Rose Charme 50/50 Petite Portrait DO FUL</t>
  </si>
  <si>
    <t>TAG Senecio Mandala Plus Sky Blue 50/50 Petite Portrait DO FUL</t>
  </si>
  <si>
    <t>TAG Senecio Mandala Plus Violet Bicolor 50/50 Petite Portrait DO FUL</t>
  </si>
  <si>
    <t>TAG Senecio Mandala Purple 50/50 Petite Portrait DO FUL</t>
  </si>
  <si>
    <t>TAG Senecio Mandala Salmon 50/50 Petite Portrait DO FUL</t>
  </si>
  <si>
    <t>TAG Senecio Mandala XL Pink Bicolor 50/50 Petite Portrait DO FUL</t>
  </si>
  <si>
    <t>TAG Senecio Mikanioides German Ivy 100/100 Pixie Tag</t>
  </si>
  <si>
    <t>TAG Senecio Mont Blanc Senecio 100/100 Pixie Tag DO FUL</t>
  </si>
  <si>
    <t>TAG Senecio Orange Flame 100/100 Pixie Tag</t>
  </si>
  <si>
    <t>TAG Senecio Pericallis Cineraria GENERIC 100/100 Pixie Tag</t>
  </si>
  <si>
    <t>TAG Senecio Purple Edge 100/100 Pixie Tag</t>
  </si>
  <si>
    <t>TAG Senecio Senecio GENERIC 100/100 Pixie Tag</t>
  </si>
  <si>
    <t>TAG Senecio Serpents 100/100 Pixie Tag</t>
  </si>
  <si>
    <t>TAG Senecio Silver Barbertonicus 100/100 Pixie Tag</t>
  </si>
  <si>
    <t>TAG Senecio Stapelioformis 100/100 Pixie Tag DO FUL</t>
  </si>
  <si>
    <t>TAG Senecio String Of Bananas 100/100 Pixie Tag</t>
  </si>
  <si>
    <t>TAG Senecio String Of Dolphins 100/100 Pixie Tag</t>
  </si>
  <si>
    <t>TAG Senecio String Of Pearls 100/100 Pixie Tag</t>
  </si>
  <si>
    <t>TAG Senna Popcorn Cassia Yellow 100/100 Pixie Tag</t>
  </si>
  <si>
    <t>TAG Setcreasea Purple Heart 100/100 Pixie Tag</t>
  </si>
  <si>
    <t>TAG Setcreasea Purple Queen 50/50 Petite Portrait DO FUL</t>
  </si>
  <si>
    <t>TAG Shallot Echalion Creme Brulee 100/100 Pixie Tag</t>
  </si>
  <si>
    <t>TAG Shallot GENERIC 100/100 Pixie Tag</t>
  </si>
  <si>
    <t>TAG Silene Carol Jean Pink 25/25 Portrait Tag</t>
  </si>
  <si>
    <t>TAG Silene Carol Jean Rose Tall 25/25 Portrait Tag</t>
  </si>
  <si>
    <t>TAG Silene Carol Jean White 25/25 Portrait Tag</t>
  </si>
  <si>
    <t>TAG Silene Clifford Moor 25/25 Portrait Tag</t>
  </si>
  <si>
    <t>TAG Silene Pink GENERIC 25/25 Portrait Tag</t>
  </si>
  <si>
    <t>TAG Silene Rollie's Favorite 25/25 Portrait Tag</t>
  </si>
  <si>
    <t>TAG Silene Valley High 25/25 Portrait Tag</t>
  </si>
  <si>
    <t>TAG Lettuce Simply Salad Alfresco Blend 25/25 Portrait Tag</t>
  </si>
  <si>
    <t>TAG Lettuce Simply Salad Cress 25/25 Portrait Tag</t>
  </si>
  <si>
    <t>TAG Lettuce Simply Salad Global Gourmet Blend 25/25 Portrait Tag</t>
  </si>
  <si>
    <t>TAG Lettuce Simply Salad Pro San 25/25 Portrait Tag</t>
  </si>
  <si>
    <t>TAG Lettuce Simply Salad Pro Tatu 25/25 Portrait Tag</t>
  </si>
  <si>
    <t>TAG Lettuce Simply Salad Wonder Wok 25/25 Portrait Tag</t>
  </si>
  <si>
    <t>TAG Sinningia Mix 100/100 Pixie Tag</t>
  </si>
  <si>
    <t>TAG Sisyrinchium Blue Eyed Grass GENERIC 25/25 Portrait Tag</t>
  </si>
  <si>
    <t>TAG Sisyrinchium Lucerne Angustifolium 25/25 Portrait Tag</t>
  </si>
  <si>
    <t>TAG Sisyrinchium Moody Blues 25/25 Portrait Tag</t>
  </si>
  <si>
    <t>TAG Snapdragon Antiquity Mix 100/100 Pixie Tag</t>
  </si>
  <si>
    <t>TAG Snapdragon Candy Showers Series 100/100 Pixie Tag</t>
  </si>
  <si>
    <t>TAG Snapdragon Candy Tops Mix 100/100 Pixie Tag</t>
  </si>
  <si>
    <t>TAG Snapdragon Candy Tops Orange 100/100 Pixie Tag</t>
  </si>
  <si>
    <t>TAG Snapdragon Candy Tops Pink Bicolor 100/100 Pixie Tag</t>
  </si>
  <si>
    <t>TAG Snapdragon Candy Tops Red 100/100 Pixie Tag</t>
  </si>
  <si>
    <t>TAG Snapdragon Candy Tops Rose 100/100 Pixie Tag</t>
  </si>
  <si>
    <t>TAG Snapdragon Candy Tops White 100/100 Pixie Tag</t>
  </si>
  <si>
    <t>TAG Snapdragon Candy Tops Yellow 100/100 Pixie Tag</t>
  </si>
  <si>
    <t>TAG Snapdragon DoubleShot Orange Bicolor 100/100 Pixie Tag</t>
  </si>
  <si>
    <t>TAG Snapdragon Dwarf GENERIC 100/100 Pixie Tag</t>
  </si>
  <si>
    <t>TAG Snapdragon Dwarf Bicolor GENERIC 100/100 Pixie Tag</t>
  </si>
  <si>
    <t>TAG Snapdragon Dwarf Pink Rose GENERIC 100/100 Pixie Tag</t>
  </si>
  <si>
    <t>TAG Snapdragon Dwarf Red GENERIC 100/100 Pixie Tag</t>
  </si>
  <si>
    <t>TAG Snapdragon Dwarf White GENERIC 100/100 Pixie Tag</t>
  </si>
  <si>
    <t>TAG Snapdragon Dwarf Yellow GENERIC 100/100 Pixie Tag</t>
  </si>
  <si>
    <t>TAG Snapdragon Dwarf Lavender Orchid GENERIC 100/100 Pixie Tag</t>
  </si>
  <si>
    <t>TAG Snapdragon Dwarf Orange Shades GENERIC 100/100 Pixie Tag</t>
  </si>
  <si>
    <t>TAG Snapdragon Floral Carpet Mix 100/100 Pixie Tag</t>
  </si>
  <si>
    <t>TAG Snapdragon Floral Showers Bicolor Mix 100/100 Pixie Tag</t>
  </si>
  <si>
    <t>TAG Snapdragon Floral Showers Crimson 100/100 Pixie Tag</t>
  </si>
  <si>
    <t>TAG Snapdragon Floral Showers Deep Bronze 100/100 Pixie Tag</t>
  </si>
  <si>
    <t>TAG Snapdragon Floral Showers Lilac 100/100 Pixie Tag</t>
  </si>
  <si>
    <t>TAG Snapdragon Floral Showers Mix 100/100 Pixie Tag</t>
  </si>
  <si>
    <t>TAG Snapdragon Floral Showers Purple 100/100 Pixie Tag</t>
  </si>
  <si>
    <t>TAG Snapdragon Floral Showers Red And Yellow Bicolor 100/100 Pixie Tag</t>
  </si>
  <si>
    <t>TAG Snapdragon Floral Showers Rose 100/100 Pixie Tag</t>
  </si>
  <si>
    <t>TAG Snapdragon Floral Showers Rose Pink 100/100 Pixie Tag</t>
  </si>
  <si>
    <t>TAG Snapdragon Floral Showers White 100/100 Pixie Tag</t>
  </si>
  <si>
    <t>TAG Snapdragon Floral Showers Yellow 100/100 Pixie Tag</t>
  </si>
  <si>
    <t>TAG Snapdragon Bilingual GENERIC 100/100 Pixie Tag</t>
  </si>
  <si>
    <t>TAG Snapdragon Liberty Classic Bronze 100/100 Pixie Tag SF</t>
  </si>
  <si>
    <t>TAG Snapdragon Liberty Classic Crimson 100/100 Pixie Tag SF</t>
  </si>
  <si>
    <t>TAG Snapdragon Liberty Classic Lavender 100/100 Pixie Tag SF</t>
  </si>
  <si>
    <t>TAG Snapdragon Liberty Classic Mix 100/100 Pixie Tag SF</t>
  </si>
  <si>
    <t>TAG Snapdragon Liberty Classic Rose Pink 100/100 Pixie Tag SF</t>
  </si>
  <si>
    <t>TAG Snapdragon Liberty Classic White 100/100 Pixie Tag SF</t>
  </si>
  <si>
    <t>TAG Snapdragon Liberty Classic Yellow 100/100 Pixie Tag SF</t>
  </si>
  <si>
    <t>TAG Snapdragon Medium GENERIC 100/100 Pixie Tag</t>
  </si>
  <si>
    <t>TAG Snapdragon Madame Butterfly 100/100 Pixie Tag SF</t>
  </si>
  <si>
    <t>TAG Snapdragon Montego Formula Mix 100/100 Pixie Tag SF</t>
  </si>
  <si>
    <t>TAG Snapdragon Montego Orange Bicolor 100/100 Pixie Tag SF</t>
  </si>
  <si>
    <t>TAG Snapdragon Montego Pink 100/100 Pixie Tag SF</t>
  </si>
  <si>
    <t>TAG Snapdragon Montego Purple 100/100 Pixie Tag SF</t>
  </si>
  <si>
    <t>TAG Snapdragon Montego Red 100/100 Pixie Tag SF</t>
  </si>
  <si>
    <t>TAG Snapdragon Montego Rose 100/100 Pixie Tag SF</t>
  </si>
  <si>
    <t>TAG Snapdragon Montego Sunset 100/100 Pixie Tag SF</t>
  </si>
  <si>
    <t>TAG Snapdragon Montego Violet 100/100 Pixie Tag SF</t>
  </si>
  <si>
    <t>TAG Snapdragon Montego White 100/100 Pixie Tag SF</t>
  </si>
  <si>
    <t>TAG Snapdragon Montego Yellow 100/100 Pixie Tag SF</t>
  </si>
  <si>
    <t>TAG Snapdragon Rocket Bronze 100/100 Pixie Tag</t>
  </si>
  <si>
    <t>TAG Snapdragon Rocket Cherry 100/100 Pixie Tag</t>
  </si>
  <si>
    <t>TAG Snapdragon Rocket Gold 100/100 Pixie Tag</t>
  </si>
  <si>
    <t>TAG Snapdragon Rocket Lemon 100/100 Pixie Tag</t>
  </si>
  <si>
    <t>TAG Snapdragon Rocket Mix 100/100 Pixie Tag</t>
  </si>
  <si>
    <t>TAG Snapdragon Rocket Orchid 100/100 Pixie Tag</t>
  </si>
  <si>
    <t>TAG Snapdragon Rocket Pink 100/100 Pixie Tag</t>
  </si>
  <si>
    <t>TAG Snapdragon Rocket Red 100/100 Pixie Tag</t>
  </si>
  <si>
    <t>TAG Snapdragon Rocket Rose 100/100 Pixie Tag</t>
  </si>
  <si>
    <t>TAG Snapdragon Rocket White 100/100 Pixie Tag</t>
  </si>
  <si>
    <t>TAG Snapdragon Rocket Yellow 100/100 Pixie Tag</t>
  </si>
  <si>
    <t>TAG Snapdragon Snapshot Appleblossom 100/100 Pixie Tag</t>
  </si>
  <si>
    <t>TAG Snapdragon Snapshot Autumn Mix 100/100 Pixie Tag</t>
  </si>
  <si>
    <t>TAG Snapdragon Snapshot Berry N Cream 100/100 Pixie Tag</t>
  </si>
  <si>
    <t>TAG Snapdragon Snapshot Burgundy 100/100 Pixie Tag</t>
  </si>
  <si>
    <t>TAG Snapdragon Snapshot Burgundy Bicolor 100/100 Pixie Tag</t>
  </si>
  <si>
    <t>TAG Snapdragon Snapshot Citrus Mix 100/100 Pixie Tag</t>
  </si>
  <si>
    <t>TAG Snapdragon Snapshot Coral Bicolor 100/100 Pixie Tag</t>
  </si>
  <si>
    <t>TAG Snapdragon Snapshot Merlot Mix 100/100 Pixie Tag</t>
  </si>
  <si>
    <t>TAG Snapdragon Snapshot Mix 100/100 Pixie Tag</t>
  </si>
  <si>
    <t>TAG Snapdragon Snapshot Orange 100/100 Pixie Tag</t>
  </si>
  <si>
    <t>TAG Snapdragon Snapshot Orange Yellow 100/100 Pixie Tag</t>
  </si>
  <si>
    <t>TAG Snapdragon Snapshot Pink 100/100 Pixie Tag</t>
  </si>
  <si>
    <t>TAG Snapdragon Snapshot Plumblossom 100/100 Pixie Tag</t>
  </si>
  <si>
    <t>TAG Snapdragon Snapshot Purple 100/100 Pixie Tag</t>
  </si>
  <si>
    <t>TAG Snapdragon Snapshot Red 100/100 Pixie Tag</t>
  </si>
  <si>
    <t>TAG Snapdragon Snapshot Red Bicolour 100/100 Pixie Tag</t>
  </si>
  <si>
    <t>TAG Snapdragon Snapshot Red Flame 100/100 Pixie Tag</t>
  </si>
  <si>
    <t>TAG Snapdragon Snapshot Rose 100/100 Pixie Tag</t>
  </si>
  <si>
    <t>TAG Snapdragon Snapshot Spring Mix 100/100 Pixie Tag</t>
  </si>
  <si>
    <t>TAG Snapdragon Snapshot Sunset 100/100 Pixie Tag</t>
  </si>
  <si>
    <t>TAG Snapdragon Snapshot White 100/100 Pixie Tag</t>
  </si>
  <si>
    <t>TAG Snapdragon Snapshot Yellow 100/100 Pixie Tag</t>
  </si>
  <si>
    <t>TAG Snapdragon Snaptastic Magenta 100/100 Pixie Tag SF</t>
  </si>
  <si>
    <t>TAG Snapdragon Snaptastic Mix 100/100 Pixie Tag SF</t>
  </si>
  <si>
    <t>TAG Snapdragon Snaptastic Orange Flame 100/100 Pixie Tag SF</t>
  </si>
  <si>
    <t>TAG Snapdragon Snaptastic Pink 100/100 Pixie Tag SF</t>
  </si>
  <si>
    <t>TAG Snapdragon Snaptastic Red 100/100 Pixie Tag SF</t>
  </si>
  <si>
    <t>TAG Snapdragon Snaptastic Yellow 100/100 Pixie Tag SF</t>
  </si>
  <si>
    <t>TAG Snapdragon Snaptini Burgundy Bicolor 100/100 Pixie Tag SF</t>
  </si>
  <si>
    <t>TAG Snapdragon Snaptini Mix 100/100 Pixie Tag SF</t>
  </si>
  <si>
    <t>TAG Snapdragon Snaptini Peach 100/100 Pixie Tag SF</t>
  </si>
  <si>
    <t>TAG Snapdragon Snaptini Red 100/100 Pixie Tag SF</t>
  </si>
  <si>
    <t>TAG Snapdragon Snaptini Rose Bicolor 100/100 Pixie Tag SF</t>
  </si>
  <si>
    <t>TAG Snapdragon Snaptini Scarlet 100/100 Pixie Tag SF</t>
  </si>
  <si>
    <t>TAG Snapdragon Snaptini Sunglow 100/100 Pixie Tag SF</t>
  </si>
  <si>
    <t>TAG Snapdragon Snaptini Violet 100/100 Pixie Tag SF</t>
  </si>
  <si>
    <t>TAG Snapdragon Snaptini White 100/100 Pixie Tag SF</t>
  </si>
  <si>
    <t>TAG Snapdragon Snaptini Yellow 100/100 Pixie Tag SF</t>
  </si>
  <si>
    <t>TAG Snapdragon Solstice Lavender 100/100 Pixie Tag</t>
  </si>
  <si>
    <t>TAG Snapdragon Solstice Mix 100/100 Pixie Tag</t>
  </si>
  <si>
    <t>TAG Snapdragon Solstice Orange Tricolor 100/100 Pixie Tag</t>
  </si>
  <si>
    <t>TAG Snapdragon Solstice Purple 100/100 Pixie Tag</t>
  </si>
  <si>
    <t>TAG Snapdragon Solstice Red 100/100 Pixie Tag</t>
  </si>
  <si>
    <t>TAG Snapdragon Solstice White 100/100 Pixie Tag</t>
  </si>
  <si>
    <t>TAG Snapdragon Solstice Yellow 100/100 Pixie Tag</t>
  </si>
  <si>
    <t>TAG Snapdragon Sonnet Burgundy 100/100 Pixie Tag</t>
  </si>
  <si>
    <t>TAG Snapdragon Sonnet Carmine 100/100 Pixie Tag</t>
  </si>
  <si>
    <t>TAG Snapdragon Sonnet Crimson 100/100 Pixie Tag</t>
  </si>
  <si>
    <t>TAG Snapdragon Sonnet Mix 100/100 Pixie Tag</t>
  </si>
  <si>
    <t>TAG Snapdragon Sonnet Orange And Scarlet 100/100 Pixie Tag</t>
  </si>
  <si>
    <t>TAG Snapdragon Sonnet Pink 100/100 Pixie Tag</t>
  </si>
  <si>
    <t>TAG Snapdragon Sonnet Rose 100/100 Pixie Tag</t>
  </si>
  <si>
    <t>TAG Snapdragon Sonnet White 100/100 Pixie Tag</t>
  </si>
  <si>
    <t>TAG Snapdragon Sonnet Yellow 100/100 Pixie Tag</t>
  </si>
  <si>
    <t>TAG Snapdragon Speedy Sonnet Bronze 100/100 Pixie Tag</t>
  </si>
  <si>
    <t>TAG Snapdragon Speedy Sonnet Crimson 100/100 Pixie Tag</t>
  </si>
  <si>
    <t>TAG Snapdragon Speedy Sonnet Mix 100/100 Pixie Tag</t>
  </si>
  <si>
    <t>TAG Snapdragon Speedy Sonnet Pink 100/100 Pixie Tag</t>
  </si>
  <si>
    <t>TAG Snapdragon Speedy Sonnet Purple 100/100 Pixie Tag</t>
  </si>
  <si>
    <t>TAG Snapdragon Speedy Sonnet Rose 100/100 Pixie Tag</t>
  </si>
  <si>
    <t>TAG Snapdragon Speedy Sonnet White 100/100 Pixie Tag</t>
  </si>
  <si>
    <t>TAG Snapdragon Speedy Sonnet Yellow 100/100 Pixie Tag</t>
  </si>
  <si>
    <t>TAG Snapdragon Statement Rose 100/100 Pixie Tag</t>
  </si>
  <si>
    <t>TAG Snapdragon Statement Scarlet 100/100 Pixie Tag</t>
  </si>
  <si>
    <t>TAG Snapdragon Statement White 100/100 Pixie Tag</t>
  </si>
  <si>
    <t>TAG Snapdragon Statement Yellow 100/100 Pixie Tag</t>
  </si>
  <si>
    <t>TAG Snapdragon Sweet Duet Series 100/100 Pixie Tag</t>
  </si>
  <si>
    <t>TAG Snapdragon Tall GENERIC 100/100 Pixie Tag</t>
  </si>
  <si>
    <t>TAG Snapdragon Trailing GENERIC 100/100 Pixie Tag</t>
  </si>
  <si>
    <t>TAG Snapdragon Twinny Peach 100/100 Pixie Tag</t>
  </si>
  <si>
    <t>TAG Snapdragon Twinny Series 100/100 Pixie Tag</t>
  </si>
  <si>
    <t>TAG Solanum Potato Vine Variegated 100/100 Pixie Tag</t>
  </si>
  <si>
    <t>TAG Solidago Fireworks 25/25 Portrait Tag</t>
  </si>
  <si>
    <t>TAG Solidago Spark Plug 25/25 Portrait Tag</t>
  </si>
  <si>
    <t>TAG Spathiphyllum GENERIC 100/100 Pixie Tag</t>
  </si>
  <si>
    <t>TAG Spathiphyllum GENERIC 25/25 Portrait Tag</t>
  </si>
  <si>
    <t>TAG Spilanthes Peek A Boo 100/100 Pixie Tag</t>
  </si>
  <si>
    <t>TAG Spinach Bloomsdale 100/100 Pixie Tag</t>
  </si>
  <si>
    <t>TAG Spinach Giant Nobel 100/100 Pixie Tag</t>
  </si>
  <si>
    <t>TAG Spinach Olympia 100/100 Pixie Tag</t>
  </si>
  <si>
    <t>TAG Spinach Red Stem Malabar 100/100 Pixie Tag</t>
  </si>
  <si>
    <t>TAG Spinach Seaside 100/100 Pixie Tag</t>
  </si>
  <si>
    <t>TAG Spinach Spinach GENERIC 100/100 Pixie Tag</t>
  </si>
  <si>
    <t>TAG Spinach Zealand 100/100 Pixie Tag</t>
  </si>
  <si>
    <t>TAG Sporobolus Heterolepis 25/25 Portrait Tag</t>
  </si>
  <si>
    <t>TAG Brussels Sprouts GENERIC 100/100 Pixie Tag</t>
  </si>
  <si>
    <t>TAG Brussels Sprouts GENERIC 200/200 Thriftee Tag</t>
  </si>
  <si>
    <t>TAG Squash Acorn 100/100 Pixie Tag</t>
  </si>
  <si>
    <t>TAG Squash Acorn 200/200 Thriftee Tag</t>
  </si>
  <si>
    <t>TAG Squash Ambassador 100/100 Pixie Tag</t>
  </si>
  <si>
    <t>TAG Squash Aristocrat 100/100 Pixie Tag</t>
  </si>
  <si>
    <t>TAG Squash Autumn Frost 100/100 Pixie Tag</t>
  </si>
  <si>
    <t>TAG Squash Balls 100/100 Pixie Tag</t>
  </si>
  <si>
    <t>TAG Squash Banana 100/100 Pixie Tag</t>
  </si>
  <si>
    <t>TAG Squash Black Beauty 100/100 Pixie Tag</t>
  </si>
  <si>
    <t>TAG Squash Bonbon 100/100 Pixie Tag</t>
  </si>
  <si>
    <t>TAG Squash Bossa Nova 100/100 Pixie Tag</t>
  </si>
  <si>
    <t>TAG Squash Buckingham 100/100 Pixie Tag</t>
  </si>
  <si>
    <t>TAG Squash Burpee Hybrid 100/100 Pixie Tag</t>
  </si>
  <si>
    <t>TAG Squash Butterbaby 100/100 Pixie Tag</t>
  </si>
  <si>
    <t>TAG Squash Buttercup 100/100 Pixie Tag</t>
  </si>
  <si>
    <t>TAG Squash Butternut 100/100 Pixie Tag</t>
  </si>
  <si>
    <t>TAG Squash Butterscotch 100/100 Pixie Tag</t>
  </si>
  <si>
    <t>TAG Squash Carnival 100/100 Pixie Tag</t>
  </si>
  <si>
    <t>TAG Squash Cornell's Bush Delicata 100/100 Pixie Tag</t>
  </si>
  <si>
    <t>TAG Squash Crookneck 200/200 Thriftee Tag</t>
  </si>
  <si>
    <t>TAG Squash Cucuzzi 100/100 Pixie Tag</t>
  </si>
  <si>
    <t>TAG Squash Delicata 100/100 Pixie Tag</t>
  </si>
  <si>
    <t>TAG Squash Dixie 100/100 Pixie Tag</t>
  </si>
  <si>
    <t>TAG Squash Early Butternut 100/100 Pixie Tag</t>
  </si>
  <si>
    <t>TAG Squash Early Summer 100/100 Pixie Tag</t>
  </si>
  <si>
    <t>TAG Squash Early White Bush 100/100 Pixie Tag</t>
  </si>
  <si>
    <t>TAG Squash EasyPick Gold 100/100 Pixie Tag</t>
  </si>
  <si>
    <t>TAG Squash EasyPick Green 100/100 Pixie Tag</t>
  </si>
  <si>
    <t>TAG Squash Eight Ball 100/100 Pixie Tag</t>
  </si>
  <si>
    <t>TAG Squash Elite 100/100 Pixie Tag</t>
  </si>
  <si>
    <t>TAG Squash Enterprise 100/100 Pixie Tag</t>
  </si>
  <si>
    <t>TAG Squash Flying Saucer 100/100 Pixie Tag</t>
  </si>
  <si>
    <t>TAG Squash Fortune 100/100 Pixie Tag</t>
  </si>
  <si>
    <t>TAG Squash Gold Rush 100/100 Pixie Tag</t>
  </si>
  <si>
    <t>TAG Squash Goldbar 100/100 Pixie Tag</t>
  </si>
  <si>
    <t>TAG Squash Golden Dawn II 100/100 Pixie Tag</t>
  </si>
  <si>
    <t>TAG Squash Golden Glory 100/100 Pixie Tag SF</t>
  </si>
  <si>
    <t>TAG Squash Goldilocks 100/100 Pixie Tag</t>
  </si>
  <si>
    <t>TAG Squash Goldprize 100/100 Pixie Tag SF</t>
  </si>
  <si>
    <t>TAG Squash Green Bush 100/100 Pixie Tag</t>
  </si>
  <si>
    <t>TAG Squash Green Griller 100/100 Pixie Tag</t>
  </si>
  <si>
    <t>TAG Squash Honey Bear 100/100 Pixie Tag</t>
  </si>
  <si>
    <t>TAG Squash Honeybaby 100/100 Pixie Tag</t>
  </si>
  <si>
    <t>TAG Squash Honeynut 100/100 Pixie Tag</t>
  </si>
  <si>
    <t>TAG Squash Hubbard 100/100 Pixie Tag</t>
  </si>
  <si>
    <t>TAG Squash Kurihomare 100/100 Pixie Tag</t>
  </si>
  <si>
    <t>TAG Squash Lemon Sun 100/100 Pixie Tag</t>
  </si>
  <si>
    <t>TAG Squash Multipik 100/100 Pixie Tag</t>
  </si>
  <si>
    <t>TAG Squash Peter Pan 100/100 Pixie Tag</t>
  </si>
  <si>
    <t>TAG Squash Primavera 100/100 Pixie Tag</t>
  </si>
  <si>
    <t>TAG Squash Raven 100/100 Pixie Tag</t>
  </si>
  <si>
    <t>TAG Squash Space Miser 100/100 Pixie Tag</t>
  </si>
  <si>
    <t>TAG Squash Spaghetti 100/100 Pixie Tag</t>
  </si>
  <si>
    <t>TAG Squash Spineless Beauty 100/100 Pixie Tag</t>
  </si>
  <si>
    <t>TAG Squash Spineless Perfection 100/100 Pixie Tag SF</t>
  </si>
  <si>
    <t>TAG Squash Sugaretti 100/100 Pixie Tag</t>
  </si>
  <si>
    <t>TAG Squash Sun Ray 100/100 Pixie Tag</t>
  </si>
  <si>
    <t>TAG Squash Sunburst 100/100 Pixie Tag SF</t>
  </si>
  <si>
    <t>TAG Squash Sundance 100/100 Pixie Tag</t>
  </si>
  <si>
    <t>TAG Squash Sunshine 100/100 Pixie Tag</t>
  </si>
  <si>
    <t>TAG Squash Sweet Dumpling 100/100 Pixie Tag</t>
  </si>
  <si>
    <t>TAG Squash Sweet Mama 100/100 Pixie Tag</t>
  </si>
  <si>
    <t>TAG Squash Table Ace 100/100 Pixie Tag</t>
  </si>
  <si>
    <t>TAG Squash Taybelle 100/100 Pixie Tag</t>
  </si>
  <si>
    <t>TAG Squash Tivoli 100/100 Pixie Tag</t>
  </si>
  <si>
    <t>TAG Squash Waltham Butternut 100/100 Pixie Tag</t>
  </si>
  <si>
    <t>TAG Squash Yellow 200/200 Thriftee Tag</t>
  </si>
  <si>
    <t>TAG Squash Yellow Crookneck 100/100 Pixie Tag</t>
  </si>
  <si>
    <t>TAG Squash Yellow Straightneck 100/100 Pixie Tag</t>
  </si>
  <si>
    <t>TAG Squash Yellow Straightneck 200/200 Thriftee Tag</t>
  </si>
  <si>
    <t>TAG Squash Zucchini 100/100 Pixie Tag</t>
  </si>
  <si>
    <t>TAG Squash Zucchini 200/200 Thriftee Tag</t>
  </si>
  <si>
    <t>TAG Squash Zucchini Green 100/100 Pixie Tag</t>
  </si>
  <si>
    <t>TAG Squash Zucchini Grey Striped 100/100 Pixie Tag</t>
  </si>
  <si>
    <t>TAG Squash Zucchini Tasty 100/100 Pixie Tag</t>
  </si>
  <si>
    <t>TAG Squash Zucchini Yellow 100/100 Pixie Tag</t>
  </si>
  <si>
    <t>TAG Stachys Byzantina 100/100 Pixie Tag</t>
  </si>
  <si>
    <t>TAG Stachys Byzantina 25/25 Portrait Tag</t>
  </si>
  <si>
    <t>TAG Stachys Byzantina Furby 25/25 Portrait Tag</t>
  </si>
  <si>
    <t>TAG Stachys Fuzzy Wuzzy 25/25 Portrait Tag</t>
  </si>
  <si>
    <t>TAG Stachys Helene Von Stein 25/25 Portrait Tag</t>
  </si>
  <si>
    <t>TAG Stachys Hummelo 25/25 Portrait Tag</t>
  </si>
  <si>
    <t>TAG Stachys Lamb's Ear 100/100 Pixie Tag</t>
  </si>
  <si>
    <t>TAG Stachys Little Lamb 25/25 Portrait Tag</t>
  </si>
  <si>
    <t>TAG Stachys Silver Carpet 100/100 Pixie Tag DO FUL</t>
  </si>
  <si>
    <t>TAG Stachys Silver Carpet 25/25 Portrait Tag</t>
  </si>
  <si>
    <t>TAG Statice Hipster Series 100/100 Pixie Tag</t>
  </si>
  <si>
    <t>TAG Stevia Rebaudiana 100/100 Pixie Tag</t>
  </si>
  <si>
    <t>TAG Stevia Rebaudiana 100/100 Pixie Tag DO FUL</t>
  </si>
  <si>
    <t>TAG Stevia Rebaudiana 25/25 Portrait Tag</t>
  </si>
  <si>
    <t>TAG Stevia Sugar Love 25/25 Portrait Tag</t>
  </si>
  <si>
    <t>TAG Stik Stakes 100/100 Stik Stake</t>
  </si>
  <si>
    <t>TAG Stipa Mexican Feather 25/25 Portrait Tag</t>
  </si>
  <si>
    <t>TAG Stipa Pony Tails 100/100 Pixie Tag</t>
  </si>
  <si>
    <t>TAG Stipa Pony Tails 25/25 Portrait Tag</t>
  </si>
  <si>
    <t>TAG Stipa Sirocco 100/100 Pixie Tag</t>
  </si>
  <si>
    <t>TAG Stock GENERIC 100/100 Pixie Tag</t>
  </si>
  <si>
    <t>TAG Stock Harmony Cherry Blossom 100/100 Pixie Tag</t>
  </si>
  <si>
    <t>TAG Stock Harmony Cream Yellow 100/100 Pixie Tag</t>
  </si>
  <si>
    <t>TAG Stock Harmony Deep Rose 100/100 Pixie Tag</t>
  </si>
  <si>
    <t>TAG Stock Harmony Light Rose 100/100 Pixie Tag</t>
  </si>
  <si>
    <t>TAG Stock Harmony Mix 100/100 Pixie Tag</t>
  </si>
  <si>
    <t>TAG Stock Harmony Purple 100/100 Pixie Tag</t>
  </si>
  <si>
    <t>TAG Stock Harmony Violet 100/100 Pixie Tag</t>
  </si>
  <si>
    <t>TAG Stock Harmony White 100/100 Pixie Tag</t>
  </si>
  <si>
    <t>TAG Stock Hot Cakes Hot Rose 100/100 Pixie Tag</t>
  </si>
  <si>
    <t>TAG Stock Hot Cakes Mix 100/100 Pixie Tag</t>
  </si>
  <si>
    <t>TAG Stock Hot Cakes Pink 100/100 Pixie Tag</t>
  </si>
  <si>
    <t>TAG Stock Hot Cakes Purple 100/100 Pixie Tag</t>
  </si>
  <si>
    <t>TAG Stock Hot Cakes White 100/100 Pixie Tag</t>
  </si>
  <si>
    <t>TAG Stock Midget Mix 100/100 Pixie Tag</t>
  </si>
  <si>
    <t>TAG Stock Midget Rose 100/100 Pixie Tag</t>
  </si>
  <si>
    <t>TAG Stock Midget Violet 100/100 Pixie Tag</t>
  </si>
  <si>
    <t>TAG Stock Mime Series 100/100 Pixie Tag</t>
  </si>
  <si>
    <t>TAG Stock Vintage Antique Mix 100/100 Pixie Tag</t>
  </si>
  <si>
    <t>TAG Stock Vintage Burgundy 100/100 Pixie Tag</t>
  </si>
  <si>
    <t>TAG Stock Vintage Copper 100/100 Pixie Tag</t>
  </si>
  <si>
    <t>TAG Stock Vintage Lavender 100/100 Pixie Tag</t>
  </si>
  <si>
    <t>TAG Stock Vintage Lilac 100/100 Pixie Tag</t>
  </si>
  <si>
    <t>TAG Stock Vintage Mix 100/100 Pixie Tag</t>
  </si>
  <si>
    <t>TAG Stock Vintage Red 100/100 Pixie Tag</t>
  </si>
  <si>
    <t>TAG Stock Vintage Rose 100/100 Pixie Tag</t>
  </si>
  <si>
    <t>TAG Stock Vintage White 100/100 Pixie Tag</t>
  </si>
  <si>
    <t>TAG Stock Vintage Yellow 100/100 Pixie Tag</t>
  </si>
  <si>
    <t>TAG Stokesia Blue Danube 25/25 Portrait Tag</t>
  </si>
  <si>
    <t>TAG Stokesia Peachies Pick 25/25 Portrait Tag</t>
  </si>
  <si>
    <t>TAG Strawberry Berri Basket Pink 100/100 Pixie Tag</t>
  </si>
  <si>
    <t>TAG Strawberry Berri Basket Rose 100/100 Pixie Tag</t>
  </si>
  <si>
    <t>TAG Streptocarpus Blue Heaven 100/100 Pixie Tag</t>
  </si>
  <si>
    <t>TAG Streptocarpus Concord Blue 100/100 Pixie Tag</t>
  </si>
  <si>
    <t>TAG Streptocarpus GENERIC 100/100 Hang Tag</t>
  </si>
  <si>
    <t>TAG Streptocarpus Saxorum 100/100 Pixie Tag</t>
  </si>
  <si>
    <t>TAG Streptocarpus Streptocarpella GENERIC 100/100 Pixie Tag</t>
  </si>
  <si>
    <t>TAG Streptocarpus Streptocarpus GENERIC 100/100 Pixie Tag</t>
  </si>
  <si>
    <t>TAG Strobilanthes Persian Shield 100/100 Pixie Tag</t>
  </si>
  <si>
    <t>TAG Strobilanthes Persian Shield 50/50 Petite Portrait DO FUL</t>
  </si>
  <si>
    <t>TAG Aloe SUCCULENT GENERIC 100/100 Pixie Tag</t>
  </si>
  <si>
    <t>TAG Succulents GENERIC 100/100 Pixie Tag</t>
  </si>
  <si>
    <t>TAG Succulents GENERIC 25/25 Portrait Tag</t>
  </si>
  <si>
    <t>TAG Succulents Indoor GENERIC 100/100 Pixie Tag</t>
  </si>
  <si>
    <t>TAG Kalanchoe Kalanchoe GENERIC 100/100 Pixie Tag</t>
  </si>
  <si>
    <t>TAG Summer Savory 100/100 Pixie Tag</t>
  </si>
  <si>
    <t>TAG Helianthus Sunflower Sunflower Concert Bell 100/100 Pixie Tag</t>
  </si>
  <si>
    <t>TAG Helianthus Sunflower Sunflower Sunbelievable Golden Girl 100/100 Pixie Tag</t>
  </si>
  <si>
    <t>TAG Sunpatiens Compact Blush Pink 25/25 Portrait Tag</t>
  </si>
  <si>
    <t>TAG Sunpatiens Compact Classic White 25/25 Portrait Tag</t>
  </si>
  <si>
    <t>TAG Sunpatiens Compact Coral Pink 25/25 Portrait Tag</t>
  </si>
  <si>
    <t>TAG Sunpatiens Compact Deep Red 25/25 Portrait Tag</t>
  </si>
  <si>
    <t>TAG Sunpatiens Compact Deep Rose 25/25 Portrait Tag</t>
  </si>
  <si>
    <t>TAG Sunpatiens Compact Electric Orange 25/25 Portrait Tag</t>
  </si>
  <si>
    <t>TAG Sunpatiens Compact Fire Red 25/25 Portrait Tag</t>
  </si>
  <si>
    <t>TAG Sunpatiens Compact Hot Coral 25/25 Portrait Tag</t>
  </si>
  <si>
    <t>TAG Sunpatiens Compact Hot Pink 25/25 Portrait Tag</t>
  </si>
  <si>
    <t>TAG Sunpatiens Compact Lav 25/25 Portrait Tag</t>
  </si>
  <si>
    <t>TAG Sunpatiens Compact Lavender Splash 25/25 Portrait Tag</t>
  </si>
  <si>
    <t>TAG Sunpatiens Compact Lilac 25/25 Portrait Tag</t>
  </si>
  <si>
    <t>TAG Sunpatiens Compact Magenta 25/25 Portrait Tag</t>
  </si>
  <si>
    <t>TAG Sunpatiens Compact Neon Pink 25/25 Portrait Tag</t>
  </si>
  <si>
    <t>TAG Sunpatiens Compact Orchid 25/25 Portrait Tag</t>
  </si>
  <si>
    <t>TAG Sunpatiens Compact Orchid Blush 25/25 Portrait Tag</t>
  </si>
  <si>
    <t>TAG Sunpatiens Compact Orange 25/25 Portrait Tag</t>
  </si>
  <si>
    <t>TAG Sunpatiens Compact Pink 25/25 Portrait Tag</t>
  </si>
  <si>
    <t>TAG Sunpatiens Compact Pink Candy 25/25 Portrait Tag</t>
  </si>
  <si>
    <t>TAG Sunpatiens Compact Purple 25/25 Portrait Tag</t>
  </si>
  <si>
    <t>TAG Sunpatiens Compact Purple Candy 25/25 Portrait Tag</t>
  </si>
  <si>
    <t>TAG Sunpatiens Compact Red 25/25 Portrait Tag</t>
  </si>
  <si>
    <t>TAG Sunpatiens Compact Red Candy 25/25 Portrait Tag</t>
  </si>
  <si>
    <t>TAG Sunpatiens Compact Rose Glow 25/25 Portrait Tag</t>
  </si>
  <si>
    <t>TAG Sunpatiens Compact Royal Magenta 25/25 Portrait Tag</t>
  </si>
  <si>
    <t>TAG Sunpatiens Compact Tropical Rose 25/25 Portrait Tag</t>
  </si>
  <si>
    <t>TAG Sunpatiens Compact White 25/25 Portrait Tag</t>
  </si>
  <si>
    <t>TAG Sunpatiens Forever Summer Mix 25/25 Portrait Tag</t>
  </si>
  <si>
    <t>TAG Sunpatiens Vigorous Corona 25/25 Portrait Tag</t>
  </si>
  <si>
    <t>TAG Sunpatiens Vigorous Lavender Spl 25/25 Portrait Tag</t>
  </si>
  <si>
    <t>TAG Sunpatiens Vigorous Orange 25/25 Portrait Tag</t>
  </si>
  <si>
    <t>TAG Sunpatiens Vigorous Orchid 25/25 Portrait Tag</t>
  </si>
  <si>
    <t>TAG Sunpatiens Vigorous Peach Candy 25/25 Portrait Tag</t>
  </si>
  <si>
    <t>TAG Sunpatiens Vigorous Pink Kiss 25/25 Portrait Tag</t>
  </si>
  <si>
    <t>TAG Sunpatiens Vigorous Pretty In Pink 25/25 Portrait Tag</t>
  </si>
  <si>
    <t>TAG Sunpatiens Vigorous Purple 25/25 Portrait Tag</t>
  </si>
  <si>
    <t>TAG Sunpatiens Vigorous Red 25/25 Portrait Tag</t>
  </si>
  <si>
    <t>TAG Sunpatiens Vigorous Rose Pink 25/25 Portrait Tag</t>
  </si>
  <si>
    <t>TAG Sunpatiens Vigorous Shell Pink 25/25 Portrait Tag</t>
  </si>
  <si>
    <t>TAG Sunpatiens Vigorous Sweetheart White 25/25 Portrait Tag</t>
  </si>
  <si>
    <t>TAG Sunpatiens Vigorous Tropical Orange 25/25 Portrait Tag</t>
  </si>
  <si>
    <t>TAG Sunpatiens Vigorous Tropical Salmon 25/25 Portrait Tag</t>
  </si>
  <si>
    <t>TAG Sunpatiens Vigorous Tropical White 25/25 Portrait Tag</t>
  </si>
  <si>
    <t>TAG Sunpatiens Vigorous White 25/25 Portrait Tag</t>
  </si>
  <si>
    <t>TAG Swiss Chard Bright Lights 100/100 Pixie Tag</t>
  </si>
  <si>
    <t>TAG Swiss Chard Eldorado 100/100 Pixie Tag</t>
  </si>
  <si>
    <t>TAG Swiss Chard GENERIC 100/100 Pixie Tag</t>
  </si>
  <si>
    <t>TAG Swiss Chard Green 100/100 Pixie Tag</t>
  </si>
  <si>
    <t>TAG Swiss Chard Peppermint 100/100 Pixie Tag</t>
  </si>
  <si>
    <t>TAG Swiss Chard Red 100/100 Pixie Tag</t>
  </si>
  <si>
    <t>TAG Swiss Chard Rhubarb 100/100 Pixie Tag</t>
  </si>
  <si>
    <t>TAG Swiss Chard Ruby Red 100/100 Pixie Tag</t>
  </si>
  <si>
    <t>TAG Syngonium GENERIC 100/100 Pixie Tag</t>
  </si>
  <si>
    <t>TAG Tag Nursery Large 500/500 Tag</t>
  </si>
  <si>
    <t>TAG Tag Nursery Medium 500/500 Tag</t>
  </si>
  <si>
    <t>TAG Tag Nursery Small 500/500 Tag</t>
  </si>
  <si>
    <t>TAG Tag Thriftee 10 IN Blank KN0192 250/250 Thriftee Tag</t>
  </si>
  <si>
    <t>TAG Tag Thriftee White Preprinted 4 In Blue 200/200 Thriftee Tag</t>
  </si>
  <si>
    <t>TAG Tag Thriftee White Preprinted 4 In Mixed 200/200 Thriftee Tag</t>
  </si>
  <si>
    <t>TAG Tag Thriftee White Preprinted 4 In Orange 200/200 Thriftee Tag</t>
  </si>
  <si>
    <t>TAG Tag Thriftee White Preprinted 4 In Pink 200/200 Thriftee Tag</t>
  </si>
  <si>
    <t>TAG Tag Thriftee White Preprinted 4 In Purple 200/200 Thriftee Tag</t>
  </si>
  <si>
    <t>TAG Tag Thriftee White Preprinted 4 In Red 200/200 Thriftee Tag</t>
  </si>
  <si>
    <t>TAG Tag Thriftee White Preprinted 4 In Rose 200/200 Thriftee Tag</t>
  </si>
  <si>
    <t>TAG Tag Thriftee White Preprinted 4 In Scarlet 200/200 Thriftee Tag</t>
  </si>
  <si>
    <t>TAG Tag Thriftee White Preprinted 4 In White 200/200 Thriftee Tag</t>
  </si>
  <si>
    <t>TAG Tag Thriftee White Preprinted 4 In Yellow 200/200 Thriftee Tag</t>
  </si>
  <si>
    <t>TAG Tag Thriftee 3 IN Blank KN0131 1000/1000 Thriftee Tag</t>
  </si>
  <si>
    <t>TAG Tag Thriftee 4 IN Blank KN0141 1000/1000 Thriftee Tag</t>
  </si>
  <si>
    <t>TAG Tag Thriftee 5 IN Blank KN0151 1000/1000 Thriftee Tag</t>
  </si>
  <si>
    <t>TAG Tag Thriftee 6 IN Blank KN0161 1000/1000 Thriftee Tag</t>
  </si>
  <si>
    <t>TAG Tag Thriftee 8 IN Blank KN0181 1000/1000 Thriftee Tag</t>
  </si>
  <si>
    <t>TAG Tag White Thriftee 1.99 200/200 Thriftee Tag</t>
  </si>
  <si>
    <t>TAG Tag White Thriftee 10.99 200/200 Thriftee Tag</t>
  </si>
  <si>
    <t>TAG Tag White Thriftee 11.99 200/200 Thriftee Tag</t>
  </si>
  <si>
    <t>TAG Tag White Thriftee 12.99 200/200 Thriftee Tag</t>
  </si>
  <si>
    <t>TAG Tag White Thriftee 14.99 200/200 Thriftee Tag</t>
  </si>
  <si>
    <t>TAG Tag White Thriftee 2.49 200/200 Thriftee Tag</t>
  </si>
  <si>
    <t>TAG Tag White Thriftee 2.99 200/200 Thriftee Tag</t>
  </si>
  <si>
    <t>TAG Tag White Thriftee 3.49 200/200 Thriftee Tag</t>
  </si>
  <si>
    <t>TAG Tag White Thriftee 3.99 200/200 Thriftee Tag</t>
  </si>
  <si>
    <t>TAG Tag White Thriftee 4.49 200/200 Thriftee Tag</t>
  </si>
  <si>
    <t>TAG Tag White Thriftee 4.99 200/200 Thriftee Tag</t>
  </si>
  <si>
    <t>TAG Tag White Thriftee 5.99 200/200 Thriftee Tag</t>
  </si>
  <si>
    <t>TAG Tag White Thriftee 6.99 200/200 Thriftee Tag</t>
  </si>
  <si>
    <t>TAG Tag White Thriftee 7.99 200/200 Thriftee Tag</t>
  </si>
  <si>
    <t>TAG Tag White Thriftee 8.99 200/200 Thriftee Tag</t>
  </si>
  <si>
    <t>TAG Tag White Thriftee 9.99 200/200 Thriftee Tag</t>
  </si>
  <si>
    <t>TAG Talinum Limon 100/100 Pixie Tag</t>
  </si>
  <si>
    <t>TAG Tanacetum Feverfew GENERIC 25/25 Portrait Tag</t>
  </si>
  <si>
    <t>TAG Tanacetum Painted GENERIC 25/25 Portrait Tag</t>
  </si>
  <si>
    <t>TAG Tanacetum Robinson Hybrid 100/100 Pixie Tag</t>
  </si>
  <si>
    <t>TAG Tanacetum Robinson Hybrid 25/25 Portrait Tag</t>
  </si>
  <si>
    <t>TAG Tanacetum Robinson Roseum 25/25 Portrait Tag</t>
  </si>
  <si>
    <t>TAG Tarragon French 100/100 Pixie Tag</t>
  </si>
  <si>
    <t>TAG Tarragon French 25/25 Portrait Tag</t>
  </si>
  <si>
    <t>TAG Tarragon GENERIC 100/100 Pixie Tag</t>
  </si>
  <si>
    <t>TAG Tarragon Mexican Marigold 100/100 Pixie Tag</t>
  </si>
  <si>
    <t>TAG Tarragon Russian 100/100 Pixie Tag</t>
  </si>
  <si>
    <t>TAG Tecomaria Yellow 25/25 Portrait Tag</t>
  </si>
  <si>
    <t>TAG Teucrium Chamaedrys 25/25 Portrait Tag</t>
  </si>
  <si>
    <t>TAG Teucrium Germander GENERIC 100/100 Pixie Tag</t>
  </si>
  <si>
    <t>TAG Thunbergia African Sunset 100/100 Pixie Tag</t>
  </si>
  <si>
    <t>TAG Thunbergia Alata 100/100 Pixie Tag</t>
  </si>
  <si>
    <t>TAG Thunbergia Arizona Dark Red 100/100 Pixie Tag</t>
  </si>
  <si>
    <t>TAG Thunbergia Arizona Glow 100/100 Pixie Tag</t>
  </si>
  <si>
    <t>TAG Thunbergia Arizona Lemon Sunrise 100/100 Pixie Tag</t>
  </si>
  <si>
    <t>TAG Thunbergia Arizona Pink Beauty 100/100 Pixie Tag</t>
  </si>
  <si>
    <t>TAG Thunbergia Arizona Rose Sensation 100/100 Pixie Tag</t>
  </si>
  <si>
    <t>TAG Thunbergia Arizona Terracotta 100/100 Pixie Tag</t>
  </si>
  <si>
    <t>TAG Thunbergia Arizona White Halo 100/100 Pixie Tag</t>
  </si>
  <si>
    <t>TAG Thunbergia Black Eyed Susan Vine GENERIC 100/100 Hang Tag</t>
  </si>
  <si>
    <t>TAG Thunbergia Black Eyed Susan Vine GENERIC 100/100 Pixie Tag</t>
  </si>
  <si>
    <t>TAG Thunbergia Blushing Susie 100/100 Pixie Tag</t>
  </si>
  <si>
    <t>TAG Thunbergia Charles Star 100/100 Pixie Tag</t>
  </si>
  <si>
    <t>TAG Thunbergia Hybrid Colors GENERIC 100/100 Pixie Tag</t>
  </si>
  <si>
    <t>TAG Thunbergia Lemon 25/25 Portrait Tag</t>
  </si>
  <si>
    <t>TAG Thunbergia Orange Beauty 100/100 Pixie Tag</t>
  </si>
  <si>
    <t>TAG Thunbergia Orange With Eye 100/100 Pixie Tag</t>
  </si>
  <si>
    <t>TAG Thunbergia Sunny Susy Amber Stripe 100/100 Pixie Tag</t>
  </si>
  <si>
    <t>TAG Thunbergia Sunny Susy Brownie 100/100 Pixie Tag</t>
  </si>
  <si>
    <t>TAG Thunbergia Sunny Susy Cherry 100/100 Pixie Tag</t>
  </si>
  <si>
    <t>TAG Thunbergia Sunny Susy Gold 100/100 Pixie Tag</t>
  </si>
  <si>
    <t>TAG Thunbergia Sunny Susy Orange 100/100 Pixie Tag</t>
  </si>
  <si>
    <t>TAG Thunbergia Sunny Susy Red Orange 100/100 Pixie Tag</t>
  </si>
  <si>
    <t>TAG Thunbergia Susie Mix 100/100 Pixie Tag</t>
  </si>
  <si>
    <t>TAG Thunbergia Susie Orange With Eye 100/100 Pixie Tag</t>
  </si>
  <si>
    <t>TAG Thunbergia Susie Yellow With Eye 100/100 Pixie Tag</t>
  </si>
  <si>
    <t>TAG Thunbergia TowerPower Apricot 100/100 Pixie Tag</t>
  </si>
  <si>
    <t>TAG Thunbergia TowerPower Dark Orange 100/100 Pixie Tag</t>
  </si>
  <si>
    <t>TAG Thunbergia TowerPower Gold 100/100 Pixie Tag</t>
  </si>
  <si>
    <t>TAG Thunbergia TowerPower Orange 100/100 Pixie Tag</t>
  </si>
  <si>
    <t>TAG Thunbergia TowerPower Red 100/100 Pixie Tag</t>
  </si>
  <si>
    <t>TAG Thunbergia TowerPower Terracotta 100/100 Pixie Tag</t>
  </si>
  <si>
    <t>TAG Thunbergia TowerPower White 100/100 Pixie Tag</t>
  </si>
  <si>
    <t>TAG Thunbergia TowerPower Yellow 100/100 Pixie Tag</t>
  </si>
  <si>
    <t>TAG Thunbergia White GENERIC 100/100 Pixie Tag</t>
  </si>
  <si>
    <t>TAG Thyme Albiflorus Praecox 25/25 Portrait Tag</t>
  </si>
  <si>
    <t>TAG Thyme Archer's Gold 25/25 Portrait Tag</t>
  </si>
  <si>
    <t>TAG Thyme Caborn Wine And Roses 25/25 Portrait Tag</t>
  </si>
  <si>
    <t>TAG Thyme Caraway 100/100 Pixie Tag</t>
  </si>
  <si>
    <t>TAG Thyme Caraway 25/25 Portrait Tag</t>
  </si>
  <si>
    <t>TAG Thyme Cascata Lemonade 100/100 Pixie Tag</t>
  </si>
  <si>
    <t>TAG Thyme Coccineus 25/25 Portrait Tag</t>
  </si>
  <si>
    <t>TAG Thyme Coccineus Praecox 25/25 Portrait Tag</t>
  </si>
  <si>
    <t>TAG Thyme Creeping 100/100 Pixie Tag</t>
  </si>
  <si>
    <t>TAG Thyme Creeping Lemon 100/100 Pixie Tag</t>
  </si>
  <si>
    <t>TAG Thyme Creeping Red 100/100 Pixie Tag</t>
  </si>
  <si>
    <t>TAG Thyme White Creeping 100/100 Pixie Tag</t>
  </si>
  <si>
    <t>TAG Thyme Doone Valley 100/100 Pixie Tag</t>
  </si>
  <si>
    <t>TAG Thyme Doone Valley 25/25 Portrait Tag</t>
  </si>
  <si>
    <t>TAG Thyme Doone Valley 50/50 Petite Portrait DO FUL</t>
  </si>
  <si>
    <t>TAG Thyme Elfin 100/100 Pixie Tag</t>
  </si>
  <si>
    <t>TAG Thyme Elfin 25/25 Portrait Tag</t>
  </si>
  <si>
    <t>TAG Thyme Elfin CN5404 100/100 Pixie Tag DO FUL</t>
  </si>
  <si>
    <t>TAG Thyme English 100/100 Pixie Tag</t>
  </si>
  <si>
    <t>TAG Thyme English 25/25 Portrait Tag</t>
  </si>
  <si>
    <t>TAG Thyme Faustinoi 100/100 Pixie Tag</t>
  </si>
  <si>
    <t>TAG Thyme Faustinoi 25/25 Portrait Tag</t>
  </si>
  <si>
    <t>TAG Thyme Foxley 25/25 Portrait Tag</t>
  </si>
  <si>
    <t>TAG Thyme French 100/100 Pixie Tag</t>
  </si>
  <si>
    <t>TAG Thyme French Cooking 100/100 Pixie Tag</t>
  </si>
  <si>
    <t>TAG Thyme French Cooking 25/25 Portrait Tag</t>
  </si>
  <si>
    <t>TAG Thyme GENERIC 100/100 Pixie Tag</t>
  </si>
  <si>
    <t>TAG Thyme GENERIC 200/200 Thriftee Tag</t>
  </si>
  <si>
    <t>TAG Thyme GENERIC 25/25 Portrait Tag</t>
  </si>
  <si>
    <t>TAG Thyme Golden 100/100 Pixie Tag</t>
  </si>
  <si>
    <t>TAG Thyme Golden Lemon 100/100 Pixie Tag</t>
  </si>
  <si>
    <t>TAG Thyme Golden Lemon 25/25 Portrait Tag</t>
  </si>
  <si>
    <t>TAG Thyme Golden Lemon 100/100 Pixie Tag DO FUL</t>
  </si>
  <si>
    <t>TAG Thyme GrowFlow Lemonade 25/25 Portrait Tag</t>
  </si>
  <si>
    <t>TAG Thyme GrowFlow Pink Magic 100/100 Pixie Tag</t>
  </si>
  <si>
    <t>TAG Thyme Hi Ho Silver 100/100 Pixie Tag DO FUL</t>
  </si>
  <si>
    <t>TAG Thyme Highland Cream 25/25 Portrait Tag</t>
  </si>
  <si>
    <t>TAG Thyme Lavender 100/100 Pixie Tag</t>
  </si>
  <si>
    <t>TAG Thyme Lemon 100/100 Pixie Tag DO FUL</t>
  </si>
  <si>
    <t>TAG Thyme Lime 100/100 Pixie Tag</t>
  </si>
  <si>
    <t>TAG Thyme Lemon 100/100 Pixie Tag</t>
  </si>
  <si>
    <t>TAG Thyme Lemon 25/25 Portrait Tag</t>
  </si>
  <si>
    <t>TAG Thyme Lemon Variegated 100/100 Pixie Tag</t>
  </si>
  <si>
    <t>TAG Thyme Lemon Variegated 25/25 Portrait Tag</t>
  </si>
  <si>
    <t>TAG Thyme Magic Carpet 100/100 Pixie Tag</t>
  </si>
  <si>
    <t>TAG Thyme Magic Carpet 25/25 Portrait Tag</t>
  </si>
  <si>
    <t>TAG Thyme Minus Serpyllum 100/100 Pixie Tag</t>
  </si>
  <si>
    <t>TAG Thyme Mother Of Thyme 100/100 Pixie Tag</t>
  </si>
  <si>
    <t>TAG Thyme Mother Of Thyme 25/25 Portrait Tag</t>
  </si>
  <si>
    <t>TAG Thyme Orange 25/25 Portrait Tag</t>
  </si>
  <si>
    <t>TAG Thyme Pink Chintz 100/100 Pixie Tag DO FUL</t>
  </si>
  <si>
    <t>TAG Thyme Pink Chintz 100/100 Pixie Tag</t>
  </si>
  <si>
    <t>TAG Thyme Pink Chintz 25/25 Portrait Tag</t>
  </si>
  <si>
    <t>TAG Thyme Purple Carpet 25/25 Portrait Tag</t>
  </si>
  <si>
    <t>TAG Thyme Red Creeping 100/100 Pixie Tag DO FUL</t>
  </si>
  <si>
    <t>TAG Thyme Red Creeping Limited Availability 50/50 Petite Portrait DO FUL</t>
  </si>
  <si>
    <t>TAG Thyme Rose Scent 25/25 Portrait Tag</t>
  </si>
  <si>
    <t>TAG Thyme Silver 100/100 Pixie Tag</t>
  </si>
  <si>
    <t>TAG Thyme Silver Edged 100/100 Pixie Tag</t>
  </si>
  <si>
    <t>TAG Thyme Silver Edged 25/25 Portrait Tag</t>
  </si>
  <si>
    <t>TAG Thyme Silver King 100/100 Pixie Tag DO FUL</t>
  </si>
  <si>
    <t>TAG Thyme Silver Posie 25/25 Portrait Tag</t>
  </si>
  <si>
    <t>TAG Thyme Silver Queen 100/100 Pixie Tag</t>
  </si>
  <si>
    <t>TAG Thyme Spanish 100/100 Pixie Tag</t>
  </si>
  <si>
    <t>TAG Thyme Spicy Orange 25/25 Portrait Tag</t>
  </si>
  <si>
    <t>TAG Thyme Vulgaris 100/100 Pixie Tag</t>
  </si>
  <si>
    <t>TAG Thyme Vulgaris 25/25 Portrait Tag</t>
  </si>
  <si>
    <t>TAG Thyme Winter 100/100 Pixie Tag</t>
  </si>
  <si>
    <t>TAG Thyme Woolly 100/100 Pixie Tag DO FUL</t>
  </si>
  <si>
    <t>TAG Thyme 25/25 Portrait Tag</t>
  </si>
  <si>
    <t>TAG Thyme Woolly 100/100 Pixie Tag</t>
  </si>
  <si>
    <t>TAG Tiarella Cordifolia 25/25 Portrait Tag</t>
  </si>
  <si>
    <t>TAG Tibouchina GENERIC 100/100 Pixie Tag</t>
  </si>
  <si>
    <t>TAG Tithonia Fiesta Del Sol 100/100 Pixie Tag</t>
  </si>
  <si>
    <t>TAG Tithonia GENERIC 100/100 Pixie Tag</t>
  </si>
  <si>
    <t>TAG Tomato Abe Lincoln 100/100 Pixie Tag</t>
  </si>
  <si>
    <t>TAG Tomato Ace 100/100 Pixie Tag</t>
  </si>
  <si>
    <t>TAG Tomato Ace 55 VF 100/100 Pixie Tag</t>
  </si>
  <si>
    <t>TAG Tomato Amish Paste 100/100 Pixie Tag</t>
  </si>
  <si>
    <t>TAG Tomato Arkansas Traveler 100/100 Pixie Tag</t>
  </si>
  <si>
    <t>TAG Tomato Artemis 100/100 Pixie Tag</t>
  </si>
  <si>
    <t>TAG Tomato Atkinson 100/100 Pixie Tag</t>
  </si>
  <si>
    <t>TAG Tomato Baby Roma 100/100 Pixie Tag</t>
  </si>
  <si>
    <t>TAG Tomato Balls Beefsteak 100/100 Pixie Tag</t>
  </si>
  <si>
    <t>TAG Tomato Beefmaster 100/100 Pixie Tag</t>
  </si>
  <si>
    <t>TAG Tomato Beefmaster 200/200 Thriftee Tag</t>
  </si>
  <si>
    <t>TAG Tomato Beefsteak 100/100 Pixie Tag</t>
  </si>
  <si>
    <t>TAG Tomato Beefsteak 200/200 Thriftee Tag</t>
  </si>
  <si>
    <t>TAG Tomato Beefy Boy 100/100 Pixie Tag</t>
  </si>
  <si>
    <t>TAG Tomato Belgium Giant 100/100 Pixie Tag</t>
  </si>
  <si>
    <t>TAG Tomato Bellatrix 100/100 Pixie Tag</t>
  </si>
  <si>
    <t>TAG Tomato Tomatoberry Garden 100/100 Pixie Tag</t>
  </si>
  <si>
    <t>TAG Tomato Best Boy 100/100 Pixie Tag</t>
  </si>
  <si>
    <t>TAG Tomato Better Boy 100/100 Pixie Tag</t>
  </si>
  <si>
    <t>TAG Tomato Better Boy 200/200 Thriftee Tag</t>
  </si>
  <si>
    <t>TAG Tomato Better Boy Plus 100/100 Pixie Tag</t>
  </si>
  <si>
    <t>TAG Tomato Better Bush 100/100 Pixie Tag SF</t>
  </si>
  <si>
    <t>TAG Tomato Better Girl 100/100 Pixie Tag</t>
  </si>
  <si>
    <t>TAG Tomato Big Beef 100/100 Pixie Tag</t>
  </si>
  <si>
    <t>TAG Tomato Big Beef Plus 100/100 Pixie Tag</t>
  </si>
  <si>
    <t>TAG Tomato Big Boy 100/100 Pixie Tag</t>
  </si>
  <si>
    <t>TAG Tomato Big Brandy 100/100 Pixie Tag</t>
  </si>
  <si>
    <t>TAG Tomato Big League 100/100 Pixie Tag</t>
  </si>
  <si>
    <t>TAG Tomato Big Rainbow 100/100 Pixie Tag</t>
  </si>
  <si>
    <t>TAG Tomato Big Zac 100/100 Pixie Tag</t>
  </si>
  <si>
    <t>TAG Tomato Biltmore 100/100 Pixie Tag</t>
  </si>
  <si>
    <t>TAG Tomato Black Cherry 100/100 Pixie Tag</t>
  </si>
  <si>
    <t>TAG Tomato Black Krim 100/100 Pixie Tag</t>
  </si>
  <si>
    <t>TAG Tomato Black Prince 100/100 Pixie Tag</t>
  </si>
  <si>
    <t>TAG Tomato Blushingstar 100/100 Pixie Tag</t>
  </si>
  <si>
    <t>TAG Tomato Bobcat 100/100 Pixie Tag SF</t>
  </si>
  <si>
    <t>TAG Tomato Bonny Best 100/100 Pixie Tag</t>
  </si>
  <si>
    <t>TAG Tomato Box Car Willie 100/100 Pixie Tag</t>
  </si>
  <si>
    <t>TAG Tomato Bradley 100/100 Pixie Tag</t>
  </si>
  <si>
    <t>TAG Tomato Brandywine 100/100 Pixie Tag</t>
  </si>
  <si>
    <t>TAG Tomato Brandywine Black 100/100 Pixie Tag</t>
  </si>
  <si>
    <t>TAG Tomato Brandywine Type Hybrid 100/100 Pixie Tag</t>
  </si>
  <si>
    <t>TAG Tomato Brandywine Red 100/100 Pixie Tag</t>
  </si>
  <si>
    <t>TAG Tomato Brandywine Yellow 100/100 Pixie Tag</t>
  </si>
  <si>
    <t>TAG Tomato Braveheart 100/100 Pixie Tag</t>
  </si>
  <si>
    <t>TAG Tomato Buffalosun 100/100 Pixie Tag</t>
  </si>
  <si>
    <t>TAG Tomato Bumble Bee Sunrise 100/100 Pixie Tag</t>
  </si>
  <si>
    <t>TAG Tomato Burpee Big Boy 100/100 Pixie Tag</t>
  </si>
  <si>
    <t>TAG Tomato Burpee Big Boy 200/200 Thriftee Tag</t>
  </si>
  <si>
    <t>TAG Tomato Burpee Big Early 100/100 Pixie Tag</t>
  </si>
  <si>
    <t>TAG Tomato Burpee Big Girl 100/100 Pixie Tag</t>
  </si>
  <si>
    <t>TAG Tomato Bush Beefsteak 200/200 Thriftee Tag</t>
  </si>
  <si>
    <t>TAG Tomato Bush Celebrity 100/100 Pixie Tag</t>
  </si>
  <si>
    <t>TAG Tomato Bush Champion 100/100 Pixie Tag</t>
  </si>
  <si>
    <t>TAG Tomato Bush Champion II 100/100 Pixie Tag</t>
  </si>
  <si>
    <t>TAG Tomato Bush Early Girl 100/100 Pixie Tag</t>
  </si>
  <si>
    <t>TAG Tomato Campbell 1327 100/100 Pixie Tag</t>
  </si>
  <si>
    <t>TAG Tomato Candyland Red 100/100 Pixie Tag</t>
  </si>
  <si>
    <t>TAG Tomato Carmello 100/100 Pixie Tag SF</t>
  </si>
  <si>
    <t>TAG Tomato Carolina Gold 100/100 Pixie Tag SF</t>
  </si>
  <si>
    <t>TAG Tomato Caspian Pink 100/100 Pixie Tag</t>
  </si>
  <si>
    <t>TAG Tomato Celano 100/100 Pixie Tag</t>
  </si>
  <si>
    <t>TAG Tomato Celebrity 100/100 Pixie Tag</t>
  </si>
  <si>
    <t>TAG Tomato Celebrity 200/200 Thriftee Tag</t>
  </si>
  <si>
    <t>TAG Tomato Celebrity Plus 100/100 Pixie Tag</t>
  </si>
  <si>
    <t>TAG Tomato Champion II 100/100 Pixie Tag</t>
  </si>
  <si>
    <t>TAG Tomato Champion Vfnt 100/100 Pixie Tag</t>
  </si>
  <si>
    <t>TAG Tomato Chef's Choice Bicolor 100/100 Pixie Tag</t>
  </si>
  <si>
    <t>TAG Tomato Chef's Choice Black 100/100 Pixie Tag</t>
  </si>
  <si>
    <t>TAG Tomato Chef's Choice Green 100/100 Pixie Tag</t>
  </si>
  <si>
    <t>TAG Tomato Chef's Choice Orange 100/100 Pixie Tag</t>
  </si>
  <si>
    <t>TAG Tomato Chef's Choice Pink 100/100 Pixie Tag</t>
  </si>
  <si>
    <t>TAG Tomato Chef's Choice Red 100/100 Pixie Tag</t>
  </si>
  <si>
    <t>TAG Tomato Chef's Choice Yellow 100/100 Pixie Tag</t>
  </si>
  <si>
    <t>TAG Tomato Cherokee Carbon 100/100 Pixie Tag</t>
  </si>
  <si>
    <t>TAG Tomato Cherokee Purple 100/100 Pixie Tag</t>
  </si>
  <si>
    <t>TAG Tomato Cherry Cascade 100/100 Pixie Tag</t>
  </si>
  <si>
    <t>TAG Tomato Cherry Express 100/100 Pixie Tag</t>
  </si>
  <si>
    <t>TAG Tomato Cherry Falls 100/100 Pixie Tag</t>
  </si>
  <si>
    <t>TAG Tomato Cherry Red GENERIC 100/100 Pixie Tag</t>
  </si>
  <si>
    <t>TAG Tomato Cherry Red Large GENERIC 100/100 Pixie Tag</t>
  </si>
  <si>
    <t>TAG Tomato Cherry Red Large GENERIC 200/200 Thriftee Tag</t>
  </si>
  <si>
    <t>TAG Tomato Cherry Red Small GENERIC 100/100 Pixie Tag</t>
  </si>
  <si>
    <t>TAG Tomato Cherry Sweet GENERIC 100/100 Pixie Tag</t>
  </si>
  <si>
    <t>TAG Tomato Cherry Yellow GENERIC 100/100 Pixie Tag</t>
  </si>
  <si>
    <t>TAG Tomato Chocolate Cherry 100/100 Pixie Tag</t>
  </si>
  <si>
    <t>TAG Tomato Chocolate Sprinkles 100/100 Pixie Tag</t>
  </si>
  <si>
    <t>TAG Tomato Christmas Grape 100/100 Pixie Tag</t>
  </si>
  <si>
    <t>TAG Tomato Crokini 100/100 Pixie Tag</t>
  </si>
  <si>
    <t>TAG Tomato Cupid 100/100 Pixie Tag</t>
  </si>
  <si>
    <t>TAG Tomato Darkstar 100/100 Pixie Tag</t>
  </si>
  <si>
    <t>TAG Tomato Delicious 100/100 Pixie Tag</t>
  </si>
  <si>
    <t>TAG Tomato Early Boy 100/100 Pixie Tag</t>
  </si>
  <si>
    <t>TAG Tomato Early Cascade 100/100 Pixie Tag</t>
  </si>
  <si>
    <t>TAG Tomato Early Doll 100/100 Pixie Tag</t>
  </si>
  <si>
    <t>TAG Tomato Early Girl 100/100 Pixie Tag</t>
  </si>
  <si>
    <t>TAG Tomato Early Girl 200/200 Thriftee Tag</t>
  </si>
  <si>
    <t>TAG Tomato Early Pick 100/100 Pixie Tag</t>
  </si>
  <si>
    <t>TAG Tomato Early Resilience 100/100 Pixie Tag</t>
  </si>
  <si>
    <t>TAG Tomato Early Salad Type 100/100 Pixie Tag</t>
  </si>
  <si>
    <t>TAG Tomato Fantastic 100/100 Pixie Tag</t>
  </si>
  <si>
    <t>TAG Tomato Fantastico 100/100 Pixie Tag</t>
  </si>
  <si>
    <t>TAG Tomato Fire Fly 100/100 Pixie Tag</t>
  </si>
  <si>
    <t>TAG Tomato First Lady 100/100 Pixie Tag</t>
  </si>
  <si>
    <t>TAG Tomato Florida 91 Hybrid 100/100 Pixie Tag</t>
  </si>
  <si>
    <t>TAG Tomato Galahad 100/100 Pixie Tag</t>
  </si>
  <si>
    <t>TAG Tomato Genuwine 100/100 Pixie Tag</t>
  </si>
  <si>
    <t>TAG Tomato German Johnson 100/100 Pixie Tag</t>
  </si>
  <si>
    <t>TAG Tomato German Pink 100/100 Pixie Tag</t>
  </si>
  <si>
    <t>TAG Tomato German Queen 100/100 Pixie Tag</t>
  </si>
  <si>
    <t>TAG Tomato German Striped 100/100 Pixie Tag</t>
  </si>
  <si>
    <t>TAG Tomato Giant Tree 100/100 Pixie Tag</t>
  </si>
  <si>
    <t>TAG Tomato Girl 100/100 Pixie Tag</t>
  </si>
  <si>
    <t>TAG Tomato Glamour 100/100 Pixie Tag</t>
  </si>
  <si>
    <t>TAG Tomato GENERIC 100/100 Hang Tag</t>
  </si>
  <si>
    <t>TAG Tomato GENERIC 100/100 Pixie Tag</t>
  </si>
  <si>
    <t>TAG Tomato Gold Medal 100/100 Pixie Tag</t>
  </si>
  <si>
    <t>TAG Tomato Gold Spark 100/100 Pixie Tag</t>
  </si>
  <si>
    <t>TAG Tomato Golden Boy Hybrid 100/100 Pixie Tag</t>
  </si>
  <si>
    <t>TAG Tomato Golden Girl 100/100 Pixie Tag</t>
  </si>
  <si>
    <t>TAG Tomato Golden Jubilee 100/100 Pixie Tag</t>
  </si>
  <si>
    <t>TAG Tomato Goliath 100/100 Pixie Tag</t>
  </si>
  <si>
    <t>TAG Tomato Goliath Bush 100/100 Pixie Tag</t>
  </si>
  <si>
    <t>TAG Tomato Goliath Early 100/100 Pixie Tag</t>
  </si>
  <si>
    <t>TAG Tomato Goliath Old Fashioned 100/100 Pixie Tag</t>
  </si>
  <si>
    <t>TAG Tomato Granny Smith 100/100 Pixie Tag</t>
  </si>
  <si>
    <t>TAG Tomato Grape GENERIC 100/100 Pixie Tag</t>
  </si>
  <si>
    <t>TAG Tomato Grape GENERIC 25/25 Portrait Tag</t>
  </si>
  <si>
    <t>TAG Tomato Grape Yellow GENERIC 100/100 Pixie Tag</t>
  </si>
  <si>
    <t>TAG Tomato Green Zebra 100/100 Pixie Tag</t>
  </si>
  <si>
    <t>TAG Tomato Ground Cherry 100/100 Pixie Tag</t>
  </si>
  <si>
    <t>TAG Tomato Hawaiian 100/100 Pixie Tag</t>
  </si>
  <si>
    <t>TAG Tomato Health Kick 100/100 Pixie Tag</t>
  </si>
  <si>
    <t>TAG Tomato Heartbreaker Vita 100/100 Pixie Tag</t>
  </si>
  <si>
    <t>TAG Tomato Heartbreakers Vallery 100/100 Pixie Tag</t>
  </si>
  <si>
    <t>TAG Tomato Heatmaster 100/100 Pixie Tag</t>
  </si>
  <si>
    <t>TAG Tomato Heatwave II 100/100 Pixie Tag</t>
  </si>
  <si>
    <t>TAG Tomato Heinz 1350 100/100 Pixie Tag</t>
  </si>
  <si>
    <t>TAG Tomato Heirloom GENERIC 100/100 Pixie Tag</t>
  </si>
  <si>
    <t>TAG Tomato Heirloom Rainbow Blend 100/100 Pixie Tag</t>
  </si>
  <si>
    <t>TAG Tomato Heritage Variety GENERIC 100/100 Pixie Tag</t>
  </si>
  <si>
    <t>TAG Tomato Hillbilly 100/100 Pixie Tag</t>
  </si>
  <si>
    <t>TAG Tomato Homeslice 100/100 Pixie Tag</t>
  </si>
  <si>
    <t>TAG Tomato Homestead No 24 100/100 Pixie Tag</t>
  </si>
  <si>
    <t>TAG Tomato Husky Cherry Red 100/100 Pixie Tag</t>
  </si>
  <si>
    <t>TAG Tomato Husky Red 100/100 Pixie Tag</t>
  </si>
  <si>
    <t>TAG Tomato Indigo Blue Berries 100/100 Pixie Tag</t>
  </si>
  <si>
    <t>TAG Tomato Indigo Gold Berries 100/100 Pixie Tag</t>
  </si>
  <si>
    <t>TAG Tomato Indigo Rose 100/100 Pixie Tag</t>
  </si>
  <si>
    <t>TAG Tomato Indigo Ruby 100/100 Pixie Tag</t>
  </si>
  <si>
    <t>TAG Tomato Jamestown 100/100 Pixie Tag</t>
  </si>
  <si>
    <t>TAG Tomato Jasper 100/100 Pixie Tag</t>
  </si>
  <si>
    <t>TAG Tomato Jelly Bean 100/100 Pixie Tag</t>
  </si>
  <si>
    <t>TAG Tomato Jersey Devil 100/100 Pixie Tag</t>
  </si>
  <si>
    <t>TAG Tomato Jet Set 100/100 Pixie Tag</t>
  </si>
  <si>
    <t>TAG Tomato Jet Star 100/100 Pixie Tag</t>
  </si>
  <si>
    <t>TAG Tomato Jet Star 200/200 Thriftee Tag</t>
  </si>
  <si>
    <t>TAG Tomato Jetsetter 100/100 Pixie Tag</t>
  </si>
  <si>
    <t>TAG Tomato Jolly Elf 100/100 Pixie Tag</t>
  </si>
  <si>
    <t>TAG Tomato Jubilee 100/100 Pixie Tag</t>
  </si>
  <si>
    <t>TAG Tomato Juliet 100/100 Pixie Tag</t>
  </si>
  <si>
    <t>TAG Tomato Kitchen Minis Cocoa 100/100 Pixie Tag</t>
  </si>
  <si>
    <t>TAG Tomato Kitchen Minis Cocoa 25/25 Portrait Tag</t>
  </si>
  <si>
    <t>TAG Tomato Kitchen Minis Micro 100/100 Pixie Tag</t>
  </si>
  <si>
    <t>TAG Tomato Red Velvet Kitchen Minis 100/100 Pixie Tag</t>
  </si>
  <si>
    <t>TAG Tomato Kitchen Minis Red Velvet 25/25 Portrait Tag</t>
  </si>
  <si>
    <t>TAG Tomato Kitchen Minis Siam 100/100 Pixie Tag</t>
  </si>
  <si>
    <t>TAG Tomato Kitchen Minis Siam 25/25 Portrait Tag</t>
  </si>
  <si>
    <t>TAG Tomato La Roma 100/100 Pixie Tag</t>
  </si>
  <si>
    <t>TAG Tomato La Roma III Red 100/100 Pixie Tag</t>
  </si>
  <si>
    <t>TAG Tomato Lemon Boy 100/100 Pixie Tag</t>
  </si>
  <si>
    <t>TAG Tomato Lemon Boy Plus 100/100 Pixie Tag</t>
  </si>
  <si>
    <t>TAG Tomato Lemon Cherry 100/100 Pixie Tag</t>
  </si>
  <si>
    <t>TAG Tomato Lizzano 100/100 Pixie Tag</t>
  </si>
  <si>
    <t>TAG Tomato Loki 100/100 Pixie Tag</t>
  </si>
  <si>
    <t>TAG Tomato Long Keeper 100/100 Pixie Tag</t>
  </si>
  <si>
    <t>TAG Tomato Little Bing 100/100 Pixie Tag</t>
  </si>
  <si>
    <t>TAG Tomato Little Birdy Red Robin 100/100 Pixie Tag</t>
  </si>
  <si>
    <t>TAG Tomato Little Birdy Rosy Finch 100/100 Pixie Tag</t>
  </si>
  <si>
    <t>TAG Tomato Little Birdy Yellow Canary 100/100 Pixie Tag</t>
  </si>
  <si>
    <t>TAG Tomato Little Napoli 100/100 Pixie Tag</t>
  </si>
  <si>
    <t>TAG Tomato Little Sicily 100/100 Pixie Tag</t>
  </si>
  <si>
    <t>TAG Tomato Manitoba 100/100 Pixie Tag</t>
  </si>
  <si>
    <t>TAG Tomato Marglobe 100/100 Pixie Tag</t>
  </si>
  <si>
    <t>TAG Tomato Marion 100/100 Pixie Tag</t>
  </si>
  <si>
    <t>TAG Tomato Marzano Fire 100/100 Pixie Tag</t>
  </si>
  <si>
    <t>TAG Tomato Marzinera 100/100 Pixie Tag</t>
  </si>
  <si>
    <t>TAG Tomato Marzito 100/100 Pixie Tag</t>
  </si>
  <si>
    <t>TAG Tomato Mega Bite 100/100 Pixie Tag</t>
  </si>
  <si>
    <t>TAG Tomato Midnight Snack 100/100 Pixie Tag</t>
  </si>
  <si>
    <t>TAG Tomato Moby Grape 100/100 Pixie Tag</t>
  </si>
  <si>
    <t>TAG Tomato Momotaro 100/100 Pixie Tag</t>
  </si>
  <si>
    <t>TAG Tomato Moreton Hybrid 100/100 Pixie Tag</t>
  </si>
  <si>
    <t>TAG Tomato Mortgage Lifter 100/100 Pixie Tag</t>
  </si>
  <si>
    <t>TAG Tomato Mountain Delight 100/100 Pixie Tag</t>
  </si>
  <si>
    <t>TAG Tomato Mountain Fresh 100/100 Pixie Tag</t>
  </si>
  <si>
    <t>TAG Tomato Mountain Fresh 200/200 Thriftee Tag</t>
  </si>
  <si>
    <t>TAG Tomato Mountain Fresh Plus 100/100 Pixie Tag</t>
  </si>
  <si>
    <t>TAG Tomato Mountain Glory 100/100 Pixie Tag</t>
  </si>
  <si>
    <t>TAG Tomato Mountain Gold 100/100 Pixie Tag</t>
  </si>
  <si>
    <t>TAG Tomato Mountain Magic 100/100 Pixie Tag</t>
  </si>
  <si>
    <t>TAG Tomato Mountain Majesty 100/100 Pixie Tag</t>
  </si>
  <si>
    <t>TAG Tomato Mountain Merit 100/100 Pixie Tag</t>
  </si>
  <si>
    <t>TAG Tomato Mountain Pride 100/100 Pixie Tag</t>
  </si>
  <si>
    <t>TAG Tomato Mountain Rouge 100/100 Pixie Tag</t>
  </si>
  <si>
    <t>TAG Tomato Mountain Spring 100/100 Pixie Tag</t>
  </si>
  <si>
    <t>TAG Tomato Mr Stripey 100/100 Pixie Tag</t>
  </si>
  <si>
    <t>TAG Tomato Mushroom Basket 100/100 Pixie Tag</t>
  </si>
  <si>
    <t>TAG Tomato Old German 100/100 Pixie Tag</t>
  </si>
  <si>
    <t>TAG Tomato Omar's Lebanese 100/100 Pixie Tag</t>
  </si>
  <si>
    <t>TAG Tomato Orange Zinger 100/100 Pixie Tag</t>
  </si>
  <si>
    <t>TAG Tomato Oregon Spring 100/100 Pixie Tag</t>
  </si>
  <si>
    <t>TAG Tomato Oxheart 100/100 Pixie Tag</t>
  </si>
  <si>
    <t>TAG Tomato Paisano 100/100 Pixie Tag</t>
  </si>
  <si>
    <t>TAG Tomato Park's Whopper 100/100 Pixie Tag</t>
  </si>
  <si>
    <t>TAG Tomato Patio 100/100 Pixie Tag</t>
  </si>
  <si>
    <t>TAG Tomato Patio 200/200 Thriftee Tag</t>
  </si>
  <si>
    <t>TAG Tomato Patio 25/25 Portrait Tag</t>
  </si>
  <si>
    <t>TAG Tomato Patio Choice 100/100 Pixie Tag</t>
  </si>
  <si>
    <t>TAG Tomato Patio Type GENERIC 100/100 Pixie Tag</t>
  </si>
  <si>
    <t>TAG Tomato Patio Prize 100/100 Pixie Tag</t>
  </si>
  <si>
    <t>TAG Tomato Paul Robeson 100/100 Pixie Tag</t>
  </si>
  <si>
    <t>TAG Tomato Pear Red GENERIC 100/100 Pixie Tag</t>
  </si>
  <si>
    <t>TAG Tomato Pear Yellow GENERIC 100/100 Pixie Tag</t>
  </si>
  <si>
    <t>TAG Tomato Peardrops 100/100 Pixie Tag</t>
  </si>
  <si>
    <t>TAG Tomato Perfect Flame 100/100 Pixie Tag</t>
  </si>
  <si>
    <t>TAG Tomato Persimmon 100/100 Pixie Tag</t>
  </si>
  <si>
    <t>TAG Tomato Pik-Red 100/100 Pixie Tag</t>
  </si>
  <si>
    <t>TAG Tomato Pillar Catch Red 100/100 Pixie Tag</t>
  </si>
  <si>
    <t>TAG Tomato Pineapple 100/100 Pixie Tag</t>
  </si>
  <si>
    <t>TAG Tomato Pink Delicious 100/100 Pixie Tag</t>
  </si>
  <si>
    <t>TAG Tomato Pink GENERIC 100/100 Pixie Tag</t>
  </si>
  <si>
    <t>TAG Tomato Pink Girl 100/100 Pixie Tag</t>
  </si>
  <si>
    <t>TAG Tomato Plum Italian GENERIC 100/100 Pixie Tag</t>
  </si>
  <si>
    <t>TAG Tomato Plum Red GENERIC 100/100 Pixie Tag</t>
  </si>
  <si>
    <t>TAG Tomato Plum Yellow GENERIC 100/100 Pixie Tag</t>
  </si>
  <si>
    <t>TAG Tomato Polish Linguisa 100/100 Pixie Tag</t>
  </si>
  <si>
    <t>TAG Tomato Ponderosa Pink 100/100 Pixie Tag</t>
  </si>
  <si>
    <t>TAG Tomato Primo Red 100/100 Pixie Tag</t>
  </si>
  <si>
    <t>TAG Tomato Pruden's Purple 100/100 Pixie Tag</t>
  </si>
  <si>
    <t>TAG Tomato Purple Boy 100/100 Pixie Tag</t>
  </si>
  <si>
    <t>TAG Tomato Purple GENERIC 100/100 Pixie Tag</t>
  </si>
  <si>
    <t>TAG Tomato Purple Zebra 100/100 Pixie Tag</t>
  </si>
  <si>
    <t>TAG Tomato Ramapo 100/100 Pixie Tag</t>
  </si>
  <si>
    <t>TAG Tomato Rapunzel 100/100 Pixie Tag</t>
  </si>
  <si>
    <t>TAG Tomato Red Defender 100/100 Pixie Tag</t>
  </si>
  <si>
    <t>TAG Tomato Red Profusion 100/100 Pixie Tag SF</t>
  </si>
  <si>
    <t>TAG Tomato Red Racer 100/100 Pixie Tag</t>
  </si>
  <si>
    <t>TAG Tomato Red Torch 100/100 Pixie Tag</t>
  </si>
  <si>
    <t>TAG Tomato Red And Yellow Bicolor GENERIC 100/100 Pixie Tag</t>
  </si>
  <si>
    <t>TAG Tomato Riesentraube 100/100 Pixie Tag</t>
  </si>
  <si>
    <t>TAG Tomato Rocky Top 100/100 Pixie Tag</t>
  </si>
  <si>
    <t>TAG Tomato Roma 100/100 Pixie Tag</t>
  </si>
  <si>
    <t>TAG Tomato Roma 200/200 Thriftee Tag</t>
  </si>
  <si>
    <t>TAG Tomato Roma Paste 100/100 Pixie Tag</t>
  </si>
  <si>
    <t>TAG Tomato Roma Plum 100/100 Pixie Tag</t>
  </si>
  <si>
    <t>TAG Tomato Ruby Crush 100/100 Pixie Tag</t>
  </si>
  <si>
    <t>TAG Tomato Rutgers 100/100 Pixie Tag</t>
  </si>
  <si>
    <t>TAG Tomato Rutgers 200/200 Thriftee Tag</t>
  </si>
  <si>
    <t>TAG Tomato Rutgers 250 100/100 Pixie Tag</t>
  </si>
  <si>
    <t>TAG Tomato Rutgers Hybrid 100/100 Pixie Tag</t>
  </si>
  <si>
    <t>TAG Tomato San Marzano 100/100 Pixie Tag</t>
  </si>
  <si>
    <t>TAG Tomato Santa 100/100 Pixie Tag</t>
  </si>
  <si>
    <t>TAG Tomato Sausage 100/100 Pixie Tag</t>
  </si>
  <si>
    <t>TAG Tomato Scarlet Red 100/100 Pixie Tag</t>
  </si>
  <si>
    <t>TAG Tomato Shady Lady 100/100 Pixie Tag</t>
  </si>
  <si>
    <t>TAG Tomato Sheyenne 100/100 Pixie Tag</t>
  </si>
  <si>
    <t>TAG Tomato Siberia 100/100 Pixie Tag</t>
  </si>
  <si>
    <t>TAG Tomato Sparky 100/100 Pixie Tag</t>
  </si>
  <si>
    <t>TAG Tomato Stellar 100/100 Pixie Tag</t>
  </si>
  <si>
    <t>TAG Tomato Stupice 100/100 Pixie Tag</t>
  </si>
  <si>
    <t>TAG Tomato Sugar Rush 100/100 Pixie Tag</t>
  </si>
  <si>
    <t>TAG Tomato Sugary 100/100 Pixie Tag</t>
  </si>
  <si>
    <t>TAG Tomato Summerlast 100/100 Pixie Tag</t>
  </si>
  <si>
    <t>TAG Tomato Summerpick 100/100 Pixie Tag</t>
  </si>
  <si>
    <t>TAG Tomato Sun Dipper 100/100 Pixie Tag</t>
  </si>
  <si>
    <t>TAG Tomato Sun Gold 100/100 Pixie Tag</t>
  </si>
  <si>
    <t>TAG Tomato Sunbrite 100/100 Pixie Tag</t>
  </si>
  <si>
    <t>TAG Tomato Suncherry 100/100 Pixie Tag</t>
  </si>
  <si>
    <t>TAG Tomato Sunny Boy 100/100 Pixie Tag</t>
  </si>
  <si>
    <t>TAG Tomato Sunny Goliath 100/100 Pixie Tag</t>
  </si>
  <si>
    <t>TAG Tomato Sunray Non Acid 100/100 Pixie Tag</t>
  </si>
  <si>
    <t>TAG Tomato Sunrise Sauce 100/100 Pixie Tag</t>
  </si>
  <si>
    <t>TAG Tomato Sunset Torch 100/100 Pixie Tag</t>
  </si>
  <si>
    <t>TAG Tomato Sunstart 100/100 Pixie Tag</t>
  </si>
  <si>
    <t>TAG Tomato Sunsugar 100/100 Pixie Tag</t>
  </si>
  <si>
    <t>TAG Tomato Super Bush 100/100 Pixie Tag</t>
  </si>
  <si>
    <t>TAG Tomato Super Fantastic 100/100 Pixie Tag</t>
  </si>
  <si>
    <t>TAG Tomato Super Marzano 100/100 Pixie Tag</t>
  </si>
  <si>
    <t>TAG Tomato Super Sioux 100/100 Pixie Tag</t>
  </si>
  <si>
    <t>TAG Tomato Supersonic 100/100 Pixie Tag</t>
  </si>
  <si>
    <t>TAG Tomato Supersonic 200/200 Thriftee Tag</t>
  </si>
  <si>
    <t>TAG Tomato Supersteak VFN 100/100 Pixie Tag</t>
  </si>
  <si>
    <t>TAG Tomato Supersweet 100 100/100 Pixie Tag SF</t>
  </si>
  <si>
    <t>TAG Tomato Supremo 100/100 Pixie Tag</t>
  </si>
  <si>
    <t>TAG Tomato Sweet 100 100/100 Pixie Tag</t>
  </si>
  <si>
    <t>TAG Tomato Sweet 100 200/200 Thriftee Tag</t>
  </si>
  <si>
    <t>TAG Tomato Sweet Baby Girl 100/100 Pixie Tag</t>
  </si>
  <si>
    <t>TAG Tomato Sweet Chelsea 100/100 Pixie Tag</t>
  </si>
  <si>
    <t>TAG Tomato Sweet Cluster 100/100 Pixie Tag</t>
  </si>
  <si>
    <t>TAG Tomato Sweet Gold 100/100 Pixie Tag</t>
  </si>
  <si>
    <t>TAG Tomato Sweet Million 100/100 Pixie Tag</t>
  </si>
  <si>
    <t>TAG Tomato Sweet N Neat Cherry Red 100/100 Pixie Tag</t>
  </si>
  <si>
    <t>TAG Tomato Sweet N Neat Scarlet 100/100 Pixie Tag</t>
  </si>
  <si>
    <t>TAG Tomato Sweet N Neat Yellow 100/100 Pixie Tag</t>
  </si>
  <si>
    <t>TAG Tomato Sweet Pea 100/100 Pixie Tag</t>
  </si>
  <si>
    <t>TAG Tomato Sweet Treats 100/100 Pixie Tag</t>
  </si>
  <si>
    <t>TAG Tomato Sweet Zen 100/100 Pixie Tag</t>
  </si>
  <si>
    <t>TAG Tomato Taxi 100/100 Pixie Tag</t>
  </si>
  <si>
    <t>TAG Tomato Ten Fingers Of Naples 100/100 Pixie Tag</t>
  </si>
  <si>
    <t>TAG Tomato Terenzo 100/100 Pixie Tag</t>
  </si>
  <si>
    <t>TAG Tomato Tidy Rose 100/100 Pixie Tag</t>
  </si>
  <si>
    <t>TAG Tomato Tidy Treats 100/100 Pixie Tag</t>
  </si>
  <si>
    <t>TAG Tomato Tiny Tim 100/100 Pixie Tag</t>
  </si>
  <si>
    <t>TAG Tomato Topsy Tom 100/100 Pixie Tag</t>
  </si>
  <si>
    <t>TAG Tomato Totem 100/100 Pixie Tag SF</t>
  </si>
  <si>
    <t>TAG Tomato Tumbler 100/100 Pixie Tag</t>
  </si>
  <si>
    <t>TAG Tomato Tumbling Tom Red 100/100 Pixie Tag SF</t>
  </si>
  <si>
    <t>TAG Tomato Tumbling Tom Yellow 100/100 Pixie Tag SF</t>
  </si>
  <si>
    <t>TAG Tomato Tutti Frutti Cherry 100/100 Pixie Tag</t>
  </si>
  <si>
    <t>TAG Tomato Tutti Frutti Mandarin 100/100 Pixie Tag</t>
  </si>
  <si>
    <t>TAG Tomato Tutti Frutti Melon 100/100 Pixie Tag</t>
  </si>
  <si>
    <t>TAG Tomato Tye Dye 100/100 Pixie Tag</t>
  </si>
  <si>
    <t>TAG Tomato Ukrainian Purple 100/100 Pixie Tag</t>
  </si>
  <si>
    <t>TAG Tomato Ultra Sweet 100/100 Pixie Tag</t>
  </si>
  <si>
    <t>TAG Tomato Valencia 100/100 Pixie Tag</t>
  </si>
  <si>
    <t>TAG Tomato Valentine 100/100 Pixie Tag</t>
  </si>
  <si>
    <t>TAG Tomato Venti Salad 100/100 Pixie Tag</t>
  </si>
  <si>
    <t>TAG Tomato Viva Italia 100/100 Pixie Tag</t>
  </si>
  <si>
    <t>TAG Tomato Viva Salsa 100/100 Pixie Tag</t>
  </si>
  <si>
    <t>TAG Tomato White Cherry 100/100 Pixie Tag</t>
  </si>
  <si>
    <t>TAG Tomato White GENERIC 100/100 Pixie Tag</t>
  </si>
  <si>
    <t>TAG Tomato Whopper 100/100 Pixie Tag</t>
  </si>
  <si>
    <t>TAG Tomato Willamette 100/100 Pixie Tag</t>
  </si>
  <si>
    <t>TAG Tomato Window Box Roma 100/100 Pixie Tag</t>
  </si>
  <si>
    <t>TAG Tomato Wisconsin 55 100/100 Pixie Tag</t>
  </si>
  <si>
    <t>TAG Tomato Wonderstar Red 100/100 Pixie Tag</t>
  </si>
  <si>
    <t>TAG Tomato Yellow GENERIC 100/100 Pixie Tag</t>
  </si>
  <si>
    <t>TAG Tomato Yellow Jelly Bean Hybrid 100/100 Pixie Tag</t>
  </si>
  <si>
    <t>TAG Tomato Yorker 100/100 Pixie Tag</t>
  </si>
  <si>
    <t>TAG Torenia Duchess Blue And White 100/100 Pixie Tag SF</t>
  </si>
  <si>
    <t>TAG Torenia Duchess Burgundy 100/100 Pixie Tag SF</t>
  </si>
  <si>
    <t>TAG Torenia Duchess Deep Blue 100/100 Pixie Tag SF</t>
  </si>
  <si>
    <t>TAG Torenia Duchess Mix 100/100 Pixie Tag SF</t>
  </si>
  <si>
    <t>TAG Torenia Duchess Pink 100/100 Pixie Tag SF</t>
  </si>
  <si>
    <t>TAG Torenia GENERIC 100/100 Hang Tag</t>
  </si>
  <si>
    <t>TAG Torenia Bilingual 100/100 Pixie Tag</t>
  </si>
  <si>
    <t>TAG Torenia Hi-Lite Blue Beacon 100/100 Pixie Tag SF</t>
  </si>
  <si>
    <t>TAG Torenia Hi-Lite Blue Jump Up 100/100 Pixie Tag SF</t>
  </si>
  <si>
    <t>TAG Torenia Hi-Lite Blue And White 100/100 Pixie Tag SF</t>
  </si>
  <si>
    <t>TAG Torenia Hi-Lite Deep Blue 100/100 Pixie Tag SF</t>
  </si>
  <si>
    <t>TAG Torenia Hi-Lite Magenta 100/100 Pixie Tag SF</t>
  </si>
  <si>
    <t>TAG Torenia Hi-Lite Mix 100/100 Pixie Tag SF</t>
  </si>
  <si>
    <t>TAG Torenia Hi-Lite Pink 100/100 Pixie Tag SF</t>
  </si>
  <si>
    <t>TAG Torenia Hi-Lite Rose Picotee 100/100 Pixie Tag</t>
  </si>
  <si>
    <t>TAG Torenia Hi-Lite White 100/100 Pixie Tag SF</t>
  </si>
  <si>
    <t>TAG Torenia Kauai Blue And White 100/100 Pixie Tag</t>
  </si>
  <si>
    <t>TAG Torenia Kauai Burgundy 100/100 Pixie Tag</t>
  </si>
  <si>
    <t>TAG Torenia Kauai Deep Blue 100/100 Pixie Tag</t>
  </si>
  <si>
    <t>TAG Torenia Kauai Lemon Drop 100/100 Pixie Tag</t>
  </si>
  <si>
    <t>TAG Torenia Kauai Magenta 100/100 Pixie Tag</t>
  </si>
  <si>
    <t>TAG Torenia Kauai Mix 100/100 Pixie Tag</t>
  </si>
  <si>
    <t>TAG Torenia Kauai Rose 100/100 Pixie Tag</t>
  </si>
  <si>
    <t>TAG Torenia Kauai White 100/100 Pixie Tag</t>
  </si>
  <si>
    <t>TAG Torenia Moon Blue 100/100 Pixie Tag</t>
  </si>
  <si>
    <t>TAG Torenia Moon Indigo 100/100 Pixie Tag</t>
  </si>
  <si>
    <t>TAG Torenia Moon Magenta 100/100 Pixie Tag</t>
  </si>
  <si>
    <t>TAG Torenia Moon Purple 100/100 Pixie Tag</t>
  </si>
  <si>
    <t>TAG Torenia Moon White 100/100 Pixie Tag</t>
  </si>
  <si>
    <t>TAG Torenia Moon Yellow 100/100 Pixie Tag</t>
  </si>
  <si>
    <t>TAG Torenia Summery Love Pure White 100/100 Pixie Tag</t>
  </si>
  <si>
    <t>TAG Torenia Vertigo Deep Blue 100/100 Pixie Tag</t>
  </si>
  <si>
    <t>TAG Tradescantia Charm Angelic 25/25 Portrait Tag</t>
  </si>
  <si>
    <t>TAG Tradescantia Charm Lucky 25/25 Portrait Tag</t>
  </si>
  <si>
    <t>TAG Tradescantia Charm Sunshine 25/25 Portrait Tag</t>
  </si>
  <si>
    <t>TAG Tradescantia Concord Grape 25/25 Portrait Tag</t>
  </si>
  <si>
    <t>TAG Tradescantia Moses In The Cradle 100/100 Pixie Tag</t>
  </si>
  <si>
    <t>TAG Tradescantia Nanouk 50/50 Petite Portrait DO FUL</t>
  </si>
  <si>
    <t>TAG Tradescantia Pink Stripes Pallida 100/100 Pixie Tag</t>
  </si>
  <si>
    <t>TAG Tradescantia Pistachio White 100/100 Pixie Tag</t>
  </si>
  <si>
    <t>TAG Tradescantia Purple Queen 100/100 Pixie Tag</t>
  </si>
  <si>
    <t>TAG Tradescantia Purple Wandering Jew 100/100 Hang Tag</t>
  </si>
  <si>
    <t>TAG Tradescantia Purple Wandering Jew 100/100 Pixie Tag</t>
  </si>
  <si>
    <t>TAG Tradescantia Spiderwort GENERIC 100/100 Pixie Tag</t>
  </si>
  <si>
    <t>TAG Tradescantia Sweet Kate 25/25 Portrait Tag</t>
  </si>
  <si>
    <t>TAG Tradescantia Tortuga 50/50 Petite Portrait DO FUL</t>
  </si>
  <si>
    <t>TAG Tradescantia Variegata 100/100 Pixie Tag</t>
  </si>
  <si>
    <t>TAG Tradescantia Zebra GENERIC 100/100 Pixie Tag</t>
  </si>
  <si>
    <t>TAG Tradescantia Zebra Type GENERIC 100/100 Pixie Tag</t>
  </si>
  <si>
    <t>TAG Tray Handles 50/50 Handle</t>
  </si>
  <si>
    <t>TAG Tricyrtis Toad Lily GENERIC 25/25 Portrait Tag</t>
  </si>
  <si>
    <t>TAG Herb Fenugreek Trigonella 100/100 Pixie Tag</t>
  </si>
  <si>
    <t>TAG Trillium Grandiflorum 100/100 Pixie Tag</t>
  </si>
  <si>
    <t>TAG Trollius Golden Queen Chinensis 25/25 Portrait Tag</t>
  </si>
  <si>
    <t>TAG Tropic Foliage Plants GENERIC 100/100 Hang Tag</t>
  </si>
  <si>
    <t>TAG Tropic Foliage Plants GENERIC 100/100 Pixie Tag</t>
  </si>
  <si>
    <t>TAG Tulip Bicolor 100/100 Pixie Tag</t>
  </si>
  <si>
    <t>TAG Tulip GENERIC 100/100 Pixie Tag</t>
  </si>
  <si>
    <t>TAG Tulip Lavender 100/100 Pixie Tag</t>
  </si>
  <si>
    <t>TAG Tulip Orange 100/100 Pixie Tag</t>
  </si>
  <si>
    <t>TAG Tulip Pink 100/100 Pixie Tag</t>
  </si>
  <si>
    <t>TAG Tulip Purple 100/100 Pixie Tag</t>
  </si>
  <si>
    <t>TAG Tulip Red 100/100 Pixie Tag</t>
  </si>
  <si>
    <t>TAG Tulip Red And White 100/100 Pixie Tag</t>
  </si>
  <si>
    <t>TAG Tulip Red And Yellow 100/100 Pixie Tag</t>
  </si>
  <si>
    <t>TAG Tulip White 100/100 Pixie Tag</t>
  </si>
  <si>
    <t>TAG Tulip White And Pink 100/100 Pixie Tag</t>
  </si>
  <si>
    <t>TAG Tulip Yellow 100/100 Pixie Tag</t>
  </si>
  <si>
    <t>TAG Turnera Ulmifolia 100/100 Pixie Tag</t>
  </si>
  <si>
    <t>TAG Herb Valerian 100/100 Pixie Tag</t>
  </si>
  <si>
    <t>TAG Valerian 25/25 Portrait Tag</t>
  </si>
  <si>
    <t>TAG Verbascum Phoeniceum GENERIC 100/100 Pixie Tag</t>
  </si>
  <si>
    <t>TAG Verbascum Southern Charm Mix 25/25 Portrait Tag</t>
  </si>
  <si>
    <t>TAG Verbena Bonariensis 100/100 Pixie Tag</t>
  </si>
  <si>
    <t>TAG Verbena Bonariensis 25/25 Portrait Tag</t>
  </si>
  <si>
    <t>TAG Verbena Buenos Aires 100/100 Pixie Tag</t>
  </si>
  <si>
    <t>TAG Verbena Cascade Purple Shades With Eye 100/100 Pixie Tag</t>
  </si>
  <si>
    <t>TAG Verbena Cascade Twister Burgundy 100/100 Pixie Tag</t>
  </si>
  <si>
    <t>TAG Verbena Cascade Twister Violet 100/100 Pixie Tag</t>
  </si>
  <si>
    <t>TAG Verbena Compact GENERIC 100/100 Pixie Tag</t>
  </si>
  <si>
    <t>TAG Verbena Compact Peach Apricot Shades 100/100 Pixie Tag</t>
  </si>
  <si>
    <t>TAG Verbena Compact Purple Blue Shades GENERIC 100/100 Pixie Tag</t>
  </si>
  <si>
    <t>TAG Verbena Empress Burgundy Charme 50/50 Petite Portrait DO FUL</t>
  </si>
  <si>
    <t>TAG Verbena Empress Flair Amethyst Charme 50/50 Petite Portrait DO FUL</t>
  </si>
  <si>
    <t>TAG Verbena Empress Flair Blue Charme 50/50 Petite Portrait DO FUL</t>
  </si>
  <si>
    <t>TAG Verbena Empress Flair Burgundy Star 50/50 Petite Portrait DO FUL</t>
  </si>
  <si>
    <t>TAG Verbena Empress Flair Burgundy 50/50 Petite Portrait DO FUL</t>
  </si>
  <si>
    <t>TAG Verbena Empress Flair Cherry 50/50 Petite Portrait DO FUL</t>
  </si>
  <si>
    <t>TAG Verbena Empress Flair Cherry Charme 50/50 Petite Portrait DO FUL</t>
  </si>
  <si>
    <t>TAG Verbena Empress Flair Cobalt Blue 50/50 Petite Portrait DO FUL</t>
  </si>
  <si>
    <t>TAG Verbena Empress Flair Coral Reef 50/50 Petite Portrait DO FUL</t>
  </si>
  <si>
    <t>TAG Verbena Empress Flair Dark Red Charme 50/50 Petite Portrait DO FUL</t>
  </si>
  <si>
    <t>TAG Verbena Empress Flair Lavender Blue 50/50 Petite Portrait DO FUL</t>
  </si>
  <si>
    <t>TAG Verbena Empress Flair Peach 50/50 Petite Portrait DO FUL</t>
  </si>
  <si>
    <t>TAG Verbena Empress Flair Pink 2025 50/50 Petite Portrait DO FUL</t>
  </si>
  <si>
    <t>TAG Verbena Empress Flair Pink Charme 50/50 Petite Portrait DO FUL</t>
  </si>
  <si>
    <t>TAG Verbena Empress Flair Purple Sky 50/50 Petite Portrait DO FUL</t>
  </si>
  <si>
    <t>TAG Verbena Empress Flair Red 50/50 Petite Portrait DO FUL</t>
  </si>
  <si>
    <t>TAG Verbena Empress Flair Violet Blue 50/50 Petite Portrait DO FUL</t>
  </si>
  <si>
    <t>TAG Verbena Empress Flair White 50/50 Petite Portrait DO FUL</t>
  </si>
  <si>
    <t>TAG Verbena Empress Hot Pink Charme 50/50 Petite Portrait DO FUL</t>
  </si>
  <si>
    <t>TAG Verbena Empress Imperial Blue 50/50 Petite Portrait DO FUL</t>
  </si>
  <si>
    <t>TAG Verbena Empress Lavender Blue 50/50 Petite Portrait DO FUL</t>
  </si>
  <si>
    <t>TAG Verbena Empress Purple Improved 50/50 Petite Portrait DO FUL</t>
  </si>
  <si>
    <t>TAG Verbena Empress Strawberry Charme 50/50 Petite Portrait DO FUL</t>
  </si>
  <si>
    <t>TAG Verbena Empress Sun Burgundy Charm 50/50 Petite Portrait DO FUL</t>
  </si>
  <si>
    <t>TAG Verbena Empress Sun Cherry 50/50 Petite Portrait DO FUL</t>
  </si>
  <si>
    <t>TAG Verbena Empress Sun Compact Violet 50/50 Petite Portrait DO FUL</t>
  </si>
  <si>
    <t>TAG Verbena Empress Sun Compact White 50/50 Petite Portrait DO FUL</t>
  </si>
  <si>
    <t>TAG Verbena Empress Sun Compact Red 50/50 Petite Portrait DO FUL</t>
  </si>
  <si>
    <t>TAG Verbena Empress Sun Dark Blue 50/50 Petite Portrait DO FUL</t>
  </si>
  <si>
    <t>TAG Verbena Empress Sun Hot Pink 50/50 Petite Portrait DO FUL</t>
  </si>
  <si>
    <t>TAG Verbena Empress Sun Kiss Blue 2025 50/50 Petite Portrait DO FUL</t>
  </si>
  <si>
    <t>TAG Verbena Empress Sun Kiss Pink 50/50 Petite Portrait DO FUL</t>
  </si>
  <si>
    <t>TAG Verbena Empress Sun Kiss Red 50/50 Petite Portrait DO FUL</t>
  </si>
  <si>
    <t>TAG Verbena Empress Sun Kiss White 50/50 Petite Portrait DO FUL</t>
  </si>
  <si>
    <t>TAG Verbena Empress Sun Lavender Charme 50/50 Petite Portrait DO FUL</t>
  </si>
  <si>
    <t>TAG Verbena Empress Sun Pink 50/50 Petite Portrait DO FUL</t>
  </si>
  <si>
    <t>TAG Verbena Empress Sun Red 50/50 Petite Portrait DO FUL</t>
  </si>
  <si>
    <t>TAG Verbena Empress Sun Violet 50/50 Petite Portrait DO FUL</t>
  </si>
  <si>
    <t>TAG Verbena Empress Sun White 50/50 Petite Portrait DO FUL</t>
  </si>
  <si>
    <t>TAG Verbena Empress Sun White Blush 50/50 Petite Portrait DO FUL</t>
  </si>
  <si>
    <t>TAG Verbena Estrella Blueberry 50/50 Petite Portrait DO FUL</t>
  </si>
  <si>
    <t>TAG Verbena Estrella Dark Orange 50/50 Petite Portrait DO FUL</t>
  </si>
  <si>
    <t>TAG Verbena Estrella Dark Purple 100/100 Pixie Tag</t>
  </si>
  <si>
    <t>TAG Verbena Estrella Dark Purple 50/50 Petite Portrait DO FUL</t>
  </si>
  <si>
    <t>TAG Verbena Estrella Hot Pink 50/50 Petite Portrait DO FUL</t>
  </si>
  <si>
    <t>TAG Verbena Estrella Lobsterfest 50/50 Petite Portrait DO FUL</t>
  </si>
  <si>
    <t>TAG Verbena Estrella Magenta 50/50 Petite Portrait DO FUL</t>
  </si>
  <si>
    <t>TAG Verbena Estrella Peach 50/50 Petite Portrait DO FUL</t>
  </si>
  <si>
    <t>TAG Verbena Estrella Red 50/50 Petite Portrait DO FUL</t>
  </si>
  <si>
    <t>TAG Verbena Estrella Series 100/100 Pixie Tag</t>
  </si>
  <si>
    <t>TAG Verbena Estrella Upright Vampr Red 50/50 Petite Portrait DO FUL</t>
  </si>
  <si>
    <t>TAG Verbena Estrella Voodoo Lavender Star 50/50 Petite Portrait DO FUL</t>
  </si>
  <si>
    <t>TAG Verbena Estrella Voodoo Merlot Star 50/50 Petite Portrait DO FUL</t>
  </si>
  <si>
    <t>TAG Verbena Estrella Voodoo Pink Star 50/50 Petite Portrait DO FUL</t>
  </si>
  <si>
    <t>TAG Verbena Estrella Voodoo Red Star 50/50 Petite Portrait DO FUL</t>
  </si>
  <si>
    <t>TAG Verbena Estrella White 50/50 Petite Portrait DO FUL</t>
  </si>
  <si>
    <t>TAG Verbena GENERIC 100/100 Hang Tag</t>
  </si>
  <si>
    <t>TAG Verbena GENERIC 25/25 Portrait Tag</t>
  </si>
  <si>
    <t>TAG Verbena Bilingual GENERIC 100/100 Pixie Tag</t>
  </si>
  <si>
    <t>TAG Verbena Homestead Hot Pink 25/25 Portrait Tag</t>
  </si>
  <si>
    <t>TAG Verbena Homestead Purple 100/100 Pixie Tag</t>
  </si>
  <si>
    <t>TAG Verbena Homestead Purple 25/25 Portrait Tag</t>
  </si>
  <si>
    <t>TAG Verbena Homestead Purple 100/100 Pixie Tag DO FUL</t>
  </si>
  <si>
    <t>TAG Verbena Homestead Purple 50/50 Petite Portrait DO FUL</t>
  </si>
  <si>
    <t>TAG Verbena Homestead Purple 50/50 Petite Portrait SF FUL</t>
  </si>
  <si>
    <t>TAG Verbena Homestead Red 100/100 Pixie Tag</t>
  </si>
  <si>
    <t>TAG Verbena Hurricane Blue 100/100 Pixie Tag</t>
  </si>
  <si>
    <t>TAG Verbena Hybrid Magelena Peach 50/50 Petite Portrait SF FUL</t>
  </si>
  <si>
    <t>TAG Verbena Imagination 100/100 Pixie Tag</t>
  </si>
  <si>
    <t>TAG Verbena Lanai Blue 50/50 Petite Portrait SF FUL</t>
  </si>
  <si>
    <t>TAG Verbena Lanai Blue Denim 50/50 Petite Portrait SF FUL</t>
  </si>
  <si>
    <t>TAG Verbena Lanai Blue Eyes 50/50 Petite Portrait SF FUL</t>
  </si>
  <si>
    <t>TAG Verbena Lanai Bright Eye 50/50 Petite Portrait SF FUL</t>
  </si>
  <si>
    <t>TAG Verbena Lanai Candy Cane 50/50 Petite Portrait SF FUL</t>
  </si>
  <si>
    <t>TAG Verbena Lanai Compact Candy Pink 50/50 Petite Portrait SF FUL</t>
  </si>
  <si>
    <t>TAG Verbena Lanai Compact Red 50/50 Petite Portrait SF FUL</t>
  </si>
  <si>
    <t>TAG Verbena Lanai Compact Red Star 50/50 Petite Portrait SF FUL</t>
  </si>
  <si>
    <t>TAG Verbena Lanai Compact Scarlet 50/50 Petite Portrait SF FUL</t>
  </si>
  <si>
    <t>TAG Verbena Lanai Compact Twister Purple 50/50 Petite Portrait SF FUL</t>
  </si>
  <si>
    <t>TAG Verbena Lanai Compact Violet With Eye 50/50 Petite Portrait SF FUL</t>
  </si>
  <si>
    <t>TAG Verbena Lanai Compact White 50/50 Petite Portrait SF FUL</t>
  </si>
  <si>
    <t>TAG Verbena Lanai Cyclops Purple 50/50 Petite Portrait SF FUL</t>
  </si>
  <si>
    <t>TAG Verbena Lanai Deep Pink 50/50 Petite Portrait SF FUL</t>
  </si>
  <si>
    <t>TAG Verbena Lanai Deep Purple 50/50 Petite Portrait SF FUL</t>
  </si>
  <si>
    <t>TAG Verbena Lanai Early Dark Red 50/50 Petite Portrait SF FUL</t>
  </si>
  <si>
    <t>TAG Verbena Lanai Green Apple 50/50 Petite Portrait SF FUL</t>
  </si>
  <si>
    <t>TAG Verbena Lanai Lavender Star 50/50 Petite Portrait SF FUL</t>
  </si>
  <si>
    <t>TAG Verbena Lanai Lilac 50/50 Petite Portrait SF FUL</t>
  </si>
  <si>
    <t>TAG Verbena Lanai Magenta 50/50 Petite Portrait SF FUL</t>
  </si>
  <si>
    <t>TAG Verbena Lanai Neon Rose 50/50 Petite Portrait SF FUL</t>
  </si>
  <si>
    <t>TAG Verbena Lanai Peach 50/50 Petite Portrait SF FUL</t>
  </si>
  <si>
    <t>TAG Verbena Lanai Pink 50/50 Petite Portrait SF FUL</t>
  </si>
  <si>
    <t>TAG Verbena Lanai Premium Vintage 50/50 Petite Portrait SF FUL</t>
  </si>
  <si>
    <t>TAG Verbena Lanai Purple 50/50 Petite Portrait SF FUL</t>
  </si>
  <si>
    <t>TAG Verbena Lanai Purple Star 50/50 Petite Portrait SF FUL</t>
  </si>
  <si>
    <t>TAG Verbena Lanai Red 50/50 Petite Portrait SF FUL</t>
  </si>
  <si>
    <t>TAG Verbena Lanai Red Star 50/50 Petite Portrait SF FUL</t>
  </si>
  <si>
    <t>TAG Verbena Lanai Royal Purple With Eye 50/50 Petite Portrait SF FUL</t>
  </si>
  <si>
    <t>TAG Verbena Lanai Scarlet 50/50 Petite Portrait SF FUL</t>
  </si>
  <si>
    <t>TAG Verbena Lanai Scarlet With Eye 50/50 Petite Portrait SF FUL</t>
  </si>
  <si>
    <t>TAG Verbena Lanai Strawberry 50/50 Petite Portrait SF FUL</t>
  </si>
  <si>
    <t>TAG Verbena Lanai Strawberry Limited Availability 50/50 Petite Portrait SF FUL</t>
  </si>
  <si>
    <t>TAG Verbena Lanai Twister Amethyst 50/50 Petite Portrait SF FUL</t>
  </si>
  <si>
    <t>TAG Verbena Lanai Twister Burgundy 50/50 Petite Portrait SF FUL</t>
  </si>
  <si>
    <t>TAG Verbena Lanai Twister Hot Lips 50/50 Petite Portrait SF FUL</t>
  </si>
  <si>
    <t>TAG Verbena Lanai Twister Pink 50/50 Petite Portrait SF FUL</t>
  </si>
  <si>
    <t>TAG Verbena Lanai Twister Purple 50/50 Petite Portrait SF FUL</t>
  </si>
  <si>
    <t>TAG Verbena Lanai Twister Red 50/50 Petite Portrait SF FUL</t>
  </si>
  <si>
    <t>TAG Verbena Lanai Upright Blue With Eye 50/50 Petite Portrait SF FUL</t>
  </si>
  <si>
    <t>TAG Verbena Lanai Upright Limoncello 50/50 Petite Portrait SF FUL</t>
  </si>
  <si>
    <t>TAG Verbena Lanai Upright Merlot With Eye 50/50 Petite Portrait SF FUL</t>
  </si>
  <si>
    <t>TAG Verbena Lanai Upright Peach 50/50 Petite Portrait SF FUL</t>
  </si>
  <si>
    <t>TAG Verbena Lanai Upright Pink With Eye 50/50 Petite Portrait SF FUL</t>
  </si>
  <si>
    <t>TAG Verbena Lanai Upright Purple Mosaic 50/50 Petite Portrait SF FUL</t>
  </si>
  <si>
    <t>TAG Verbena Lanai Upright Purple With Eye 50/50 Petite Portrait SF FUL</t>
  </si>
  <si>
    <t>TAG Verbena Lanai Upright Red With Eye 50/50 Petite Portrait SF FUL</t>
  </si>
  <si>
    <t>TAG Verbena Lanai Upright Rose With Eye 50/50 Petite Portrait SF FUL</t>
  </si>
  <si>
    <t>TAG Verbena Lanai Upright Scarlet 50/50 Petite Portrait SF FUL</t>
  </si>
  <si>
    <t>TAG Verbena Lanai Upright Sky Blue 50/50 Petite Portrait SF FUL</t>
  </si>
  <si>
    <t>TAG Verbena Lanai Upright True Blue 50/50 Petite Portrait SF FUL</t>
  </si>
  <si>
    <t>TAG Verbena Lanai Upright Twister Purple 50/50 Petite Portrait SF FUL</t>
  </si>
  <si>
    <t>TAG Verbena Lanai Upright Twister Red 20 50/50 Petite Portrait SF FUL</t>
  </si>
  <si>
    <t>TAG Verbena Lanai Upright Twister Watercolor 50/50 Petite Portrait SF FUL</t>
  </si>
  <si>
    <t>TAG Verbena Lanai Upright White 50/50 Petite Portrait SF FUL</t>
  </si>
  <si>
    <t>TAG Verbena Lanai White 50/50 Petite Portrait SF FUL</t>
  </si>
  <si>
    <t>TAG Verbena Lemon 100/100 Pixie Tag</t>
  </si>
  <si>
    <t>TAG Verbena Lemon 25/25 Portrait Tag</t>
  </si>
  <si>
    <t>TAG Verbena Lindolena Lavender 50/50 Petite Portrait DO FUL</t>
  </si>
  <si>
    <t>TAG Verbena Lindolena Red 50/50 Petite Portrait DO FUL</t>
  </si>
  <si>
    <t>TAG Verbena Lindolena White 50/50 Petite Portrait DO FUL</t>
  </si>
  <si>
    <t>TAG Verbena Little One 50/50 Petite Portrait DO FUL</t>
  </si>
  <si>
    <t>TAG Verbena Magelana Hot Rose 50/50 Petite Portrait SF FUL</t>
  </si>
  <si>
    <t>TAG Verbena Magelana Lilac 50/50 Petite Portrait SF FUL</t>
  </si>
  <si>
    <t>TAG Verbena Magelana Lipstick 50/50 Petite Portrait SF FUL</t>
  </si>
  <si>
    <t>TAG Verbena Magelana Plum Frost 50/50 Petite Portrait SF FUL</t>
  </si>
  <si>
    <t>TAG Verbena Magelana Violet 50/50 Petite Portrait SF FUL</t>
  </si>
  <si>
    <t>TAG Verbena Obsession Apricot 100/100 Pixie Tag SF</t>
  </si>
  <si>
    <t>TAG Verbena Obsession Berry Tart Mix 100/100 Pixie Tag SF</t>
  </si>
  <si>
    <t>TAG Verbena Obsession Blue With Eye 100/100 Pixie Tag SF</t>
  </si>
  <si>
    <t>TAG Verbena Obsession Bordeaux 100/100 Pixie Tag SF</t>
  </si>
  <si>
    <t>TAG Verbena Obsession Burgundy With Eye 100/100 Pixie Tag SF</t>
  </si>
  <si>
    <t>TAG Verbena Obsession Casc Burg With Eye 100/100 Pixie Tag SF</t>
  </si>
  <si>
    <t>TAG Verbena Obsession Casc Pink Shades 100/100 Pixie Tag SF</t>
  </si>
  <si>
    <t>TAG Verbena Obsession Casc Red With Eye 100/100 Pixie Tag SF</t>
  </si>
  <si>
    <t>TAG Verbena Obsession Cascade Scarlet 100/100 Pixie Tag SF</t>
  </si>
  <si>
    <t>TAG Verbena Obsession Cascade White 100/100 Pixie Tag SF</t>
  </si>
  <si>
    <t>TAG Verbena Obsession Coral With Eye 100/100 Pixie Tag SF</t>
  </si>
  <si>
    <t>TAG Verbena Obsession Crimson With Eye 100/100 Pixie Tag SF</t>
  </si>
  <si>
    <t>TAG Verbena Obsession Eyed Mix 100/100 Pixie Tag SF</t>
  </si>
  <si>
    <t>TAG Verbena Obsession Formula Mix 100/100 Pixie Tag SF</t>
  </si>
  <si>
    <t>TAG Verbena Obsession Lavender 100/100 Pixie Tag SF</t>
  </si>
  <si>
    <t>TAG Verbena Obsession Light Blue With Eye 100/100 Pixie Tag SF</t>
  </si>
  <si>
    <t>TAG Verbena Obsession Lilac 100/100 Pixie Tag SF</t>
  </si>
  <si>
    <t>TAG Verbena Obsession Mix 100/100 Pixie Tag SF</t>
  </si>
  <si>
    <t>TAG Verbena Obsession Pastel Mix 100/100 Pixie Tag SF</t>
  </si>
  <si>
    <t>TAG Verbena Obsession Pink 100/100 Pixie Tag SF</t>
  </si>
  <si>
    <t>TAG Verbena Obsession Purple 100/100 Pixie Tag SF</t>
  </si>
  <si>
    <t>TAG Verbena Obsession Purple Shades With Eye 100/100 Pixie Tag SF</t>
  </si>
  <si>
    <t>TAG Verbena Obsession Red 100/100 Pixie Tag SF</t>
  </si>
  <si>
    <t>TAG Verbena Obsession Red With Eye 100/100 Pixie Tag SF</t>
  </si>
  <si>
    <t>TAG Verbena Obsession Scarlet 100/100 Pixie Tag SF</t>
  </si>
  <si>
    <t>TAG Verbena Obsession Spirit Mix 100/100 Pixie Tag SF</t>
  </si>
  <si>
    <t>TAG Verbena Obsession Twister Purple 100/100 Pixie Tag SF</t>
  </si>
  <si>
    <t>TAG Verbena Obsession Twister Red 100/100 Pixie Tag SF</t>
  </si>
  <si>
    <t>TAG Verbena Obsession White 100/100 Pixie Tag SF</t>
  </si>
  <si>
    <t>TAG Verbena Peaches And Cream 100/100 Pixie Tag</t>
  </si>
  <si>
    <t>TAG Verbena Pink GENERIC 100/100 Pixie Tag</t>
  </si>
  <si>
    <t>TAG Verbena Polaris 100/100 Pixie Tag</t>
  </si>
  <si>
    <t>TAG Verbena Purple GENERIC 100/100 Pixie Tag</t>
  </si>
  <si>
    <t>TAG Verbena Quartz Blue 100/100 Pixie Tag</t>
  </si>
  <si>
    <t>TAG Verbena Quartz XP Bordeaux 100/100 Pixie Tag</t>
  </si>
  <si>
    <t>TAG Verbena Quartz XP Burgundy Eye 100/100 Pixie Tag</t>
  </si>
  <si>
    <t>TAG Verbena Quartz XP Burgundy 100/100 Pixie Tag</t>
  </si>
  <si>
    <t>TAG Verbena Quartz Merlot Mix 100/100 Pixie Tag</t>
  </si>
  <si>
    <t>TAG Verbena Quartz XP Mix 100/100 Pixie Tag</t>
  </si>
  <si>
    <t>TAG Verbena Quartz XP Pink 100/100 Pixie Tag</t>
  </si>
  <si>
    <t>TAG Verbena Quartz XP Purple 100/100 Pixie Tag</t>
  </si>
  <si>
    <t>TAG Verbena Quartz XP Red Eye 100/100 Pixie Tag</t>
  </si>
  <si>
    <t>TAG Verbena Quartz XP Scarlet 100/100 Pixie Tag</t>
  </si>
  <si>
    <t>TAG Verbena Quartz XP Silver 100/100 Pixie Tag</t>
  </si>
  <si>
    <t>TAG Verbena Quartz XP Violet Eye 100/100 Pixie Tag</t>
  </si>
  <si>
    <t>TAG Verbena Quartz XP Waterfall Mix 100/100 Pixie Tag</t>
  </si>
  <si>
    <t>TAG Verbena Quartz XP White 100/100 Pixie Tag</t>
  </si>
  <si>
    <t>TAG Verbena Red GENERIC 100/100 Pixie Tag</t>
  </si>
  <si>
    <t>TAG Verbena Royal Charme 50/50 Petite Portrait DO FUL</t>
  </si>
  <si>
    <t>TAG Verbena Santos Rigida 100/100 Pixie Tag</t>
  </si>
  <si>
    <t>TAG Verbena Serenity Mix 100/100 Pixie Tag</t>
  </si>
  <si>
    <t>TAG Verbena Sweetheart Kisses 100/100 Pixie Tag</t>
  </si>
  <si>
    <t>TAG Verbena Tiara Mickey Series 100/100 Pixie Tag</t>
  </si>
  <si>
    <t>TAG Verbena Trailing GENERIC 100/100 Pixie Tag</t>
  </si>
  <si>
    <t>TAG Verbena Trailing Pink GENERIC 100/100 Pixie Tag</t>
  </si>
  <si>
    <t>TAG Verbena Trailing Purple GENERIC 100/100 Pixie Tag</t>
  </si>
  <si>
    <t>TAG Verbena Trailing Red GENERIC 100/100 Pixie Tag</t>
  </si>
  <si>
    <t>TAG Verbena Tuscany Blue 100/100 Pixie Tag SF</t>
  </si>
  <si>
    <t>TAG Verbena Tuscany Burgundy With Eye 100/100 Pixie Tag SF</t>
  </si>
  <si>
    <t>TAG Verbena Tuscany Lavender Picotee 100/100 Pixie Tag SF</t>
  </si>
  <si>
    <t>TAG Verbena Tuscany Mix 100/100 Pixie Tag SF</t>
  </si>
  <si>
    <t>TAG Verbena Tuscany Orchid Frost 100/100 Pixie Tag SF</t>
  </si>
  <si>
    <t>TAG Verbena Tuscany Pastel Mix 100/100 Pixie Tag SF</t>
  </si>
  <si>
    <t>TAG Verbena Tuscany Peach 100/100 Pixie Tag SF</t>
  </si>
  <si>
    <t>TAG Verbena Tuscany Rose With Eye 100/100 Pixie Tag SF</t>
  </si>
  <si>
    <t>TAG Verbena Tuscany Scarlet 100/100 Pixie Tag SF</t>
  </si>
  <si>
    <t>TAG Verbena Tuscany Scarlet With Eye 100/100 Pixie Tag SF</t>
  </si>
  <si>
    <t>TAG Verbena Tuscany Twister Purple Shades 100/100 Pixie Tag SF</t>
  </si>
  <si>
    <t>TAG Verbena Tuscany White 100/100 Pixie Tag SF</t>
  </si>
  <si>
    <t>TAG Verbena Vanessa Deep Pink 100/100 Pixie Tag</t>
  </si>
  <si>
    <t>TAG Verbena Vanessa Series 100/100 Pixie Tag</t>
  </si>
  <si>
    <t>TAG Verbena Vanity 100/100 Pixie Tag</t>
  </si>
  <si>
    <t>TAG Verbena Vepita Series 100/100 Pixie Tag</t>
  </si>
  <si>
    <t>TAG Verbena Vivid Series 100/100 Pixie Tag</t>
  </si>
  <si>
    <t>TAG Verbena Voodoo Burgundy Star 50/50 Petite Portrait DO FUL</t>
  </si>
  <si>
    <t>TAG Verbena Voodoo Candy Star 50/50 Petite Portrait DO FUL</t>
  </si>
  <si>
    <t>TAG Verbena Voodoo Salmon Star 50/50 Petite Portrait DO FUL</t>
  </si>
  <si>
    <t>TAG Verbena Voodoo Series 100/100 Pixie Tag</t>
  </si>
  <si>
    <t>TAG Verbena White GENERIC 100/100 Pixie Tag</t>
  </si>
  <si>
    <t>TAG Verbena Wicked Beauty Burgundy 50/50 Petite Portrait DO FUL</t>
  </si>
  <si>
    <t>TAG Verbena Wicked Cool Blue 50/50 Petite Portrait DO FUL</t>
  </si>
  <si>
    <t>TAG Verbena Wicked Cool Purple 50/50 Petite Portrait DO FUL</t>
  </si>
  <si>
    <t>TAG Verbena Wicked Great Grape 50/50 Petite Portrait DO FUL</t>
  </si>
  <si>
    <t>TAG Verbena Wicked Hot Pink 50/50 Petite Portrait DO FUL</t>
  </si>
  <si>
    <t>TAG Verbena Wicked Hot Red 50/50 Petite Portrait DO FUL</t>
  </si>
  <si>
    <t>TAG Verbena Wicked Mad Magenta 50/50 Petite Portrait DO FUL</t>
  </si>
  <si>
    <t>TAG Verbena Wicked Pink Pepper 50/50 Petite Portrait DO FUL</t>
  </si>
  <si>
    <t>TAG Verbena Wicked Purple 50/50 Petite Portrait DO FUL</t>
  </si>
  <si>
    <t>TAG Verbena Wicked Rad Red 50/50 Petite Portrait DO FUL</t>
  </si>
  <si>
    <t>TAG Veronica Baby Bloomer Blue 100/100 Pixie Tag DO FUL</t>
  </si>
  <si>
    <t>TAG Veronica Blue Bouquet Spicata 100/100 Pixie Tag</t>
  </si>
  <si>
    <t>TAG Veronica Blue Carpet 100/100 Pixie Tag</t>
  </si>
  <si>
    <t>TAG Veronica Blue Spicata 25/25 Portrait Tag</t>
  </si>
  <si>
    <t>TAG Veronica Bubblegum Candles 100/100 Pixie Tag DO FUL</t>
  </si>
  <si>
    <t>TAG Veronica Candela Blue 100/100 Pixie Tag DO FUL</t>
  </si>
  <si>
    <t>TAG Veronica Candela Hot Pink 100/100 Pixie Tag DO FUL</t>
  </si>
  <si>
    <t>TAG Veronica Candela Pink 100/100 Pixie Tag DO FUL</t>
  </si>
  <si>
    <t>TAG Veronica Candela Purple 100/100 Pixie Tag DO FUL</t>
  </si>
  <si>
    <t>TAG Veronica Crater Lake Blue 100/100 Pixie Tag</t>
  </si>
  <si>
    <t>TAG Veronica Da Vinci Delight 25/25 Portrait Tag</t>
  </si>
  <si>
    <t>TAG Veronica First Bride 25/25 Portrait Tag</t>
  </si>
  <si>
    <t>TAG Veronica First Glory Longifolia 25/25 Portrait Tag</t>
  </si>
  <si>
    <t>TAG Veronica First Kiss Longifolia 25/25 Portrait Tag</t>
  </si>
  <si>
    <t>TAG Veronica First Lady Longifolia 25/25 Portrait Tag</t>
  </si>
  <si>
    <t>TAG Veronica First Love Longifolia 25/25 Portrait Tag</t>
  </si>
  <si>
    <t>TAG Veronica First Memory 25/25 Portrait Tag</t>
  </si>
  <si>
    <t>TAG Veronica Forever Blue Longifolia 25/25 Portrait Tag</t>
  </si>
  <si>
    <t>TAG Veronica Georgia Blue 100/100 Pixie Tag</t>
  </si>
  <si>
    <t>TAG Veronica Georgia Blue 25/25 Portrait Tag</t>
  </si>
  <si>
    <t>TAG Veronica Georgia Blue 50/50 Petite Portrait DO FUL</t>
  </si>
  <si>
    <t>TAG Veronica Giles Van Hees 100/100 Pixie Tag DO FUL</t>
  </si>
  <si>
    <t>TAG Veronica Giles Van Hees Spicata 25/25 Portrait Tag</t>
  </si>
  <si>
    <t>TAG Veronica GENERIC 25/25 Portrait Tag</t>
  </si>
  <si>
    <t>TAG Veronica Moody Blues Blue Sky 25/25 Portrait Tag</t>
  </si>
  <si>
    <t>TAG Veronica Moody Blues Dark Blue 25/25 Portrait Tag</t>
  </si>
  <si>
    <t>TAG Veronica Moody Blues Dark Blue 50/50 Petite Portrait DO FUL</t>
  </si>
  <si>
    <t>TAG Veronica Moody Blues Dark Pink 25/25 Portrait Tag</t>
  </si>
  <si>
    <t>TAG Veronica Moody Blues Mauve 25/25 Portrait Tag</t>
  </si>
  <si>
    <t>TAG Veronica Moody Blues Pink 25/25 Portrait Tag</t>
  </si>
  <si>
    <t>TAG Veronica Moody Blues White 25/25 Portrait Tag</t>
  </si>
  <si>
    <t>TAG Veronica Purple Leia 25/25 Portrait Tag</t>
  </si>
  <si>
    <t>TAG Veronica Purpleicious 25/25 Portrait Tag</t>
  </si>
  <si>
    <t>TAG Veronica Red Fox Spicata 100/100 Pixie Tag</t>
  </si>
  <si>
    <t>TAG Veronica Red Fox Spicata 25/25 Portrait Tag</t>
  </si>
  <si>
    <t>TAG Veronica Repens 25/25 Portrait Tag</t>
  </si>
  <si>
    <t>TAG Veronica Ronica Blue 25/25 Portrait Tag</t>
  </si>
  <si>
    <t>TAG Veronica Ronica Fuchsia 25/25 Portrait Tag</t>
  </si>
  <si>
    <t>TAG Veronica Royal Blue Austriaca 25/25 Portrait Tag</t>
  </si>
  <si>
    <t>TAG Veronica Royal Candles 100/100 Pixie Tag DO FUL</t>
  </si>
  <si>
    <t>TAG Veronica Royal Candles 25/25 Portrait Tag</t>
  </si>
  <si>
    <t>TAG Veronica Skyward Blue 25/25 Portrait Tag</t>
  </si>
  <si>
    <t>TAG Veronica Skyward Lilac 25/25 Portrait Tag</t>
  </si>
  <si>
    <t>TAG Veronica Skyward Pink 25/25 Portrait Tag</t>
  </si>
  <si>
    <t>TAG Veronica Snow Candles 100/100 Pixie Tag DO FUL</t>
  </si>
  <si>
    <t>TAG Veronica Sunny Border Blue 25/25 Portrait Tag</t>
  </si>
  <si>
    <t>TAG Veronica Sunny Border Blue 50/50 Petite Portrait DO FUL</t>
  </si>
  <si>
    <t>TAG Veronica Tidal Pool 50/50 Petite Portrait DO FUL</t>
  </si>
  <si>
    <t>TAG Veronica Venice Blue Austriaca 25/25 Portrait Tag</t>
  </si>
  <si>
    <t>TAG Veronica Vernique Blue Longifolia 25/25 Portrait Tag</t>
  </si>
  <si>
    <t>TAG Veronica Vernique Dark Blue 25/25 Portrait Tag</t>
  </si>
  <si>
    <t>TAG Veronica Vernique Pink Longifolia 25/25 Portrait Tag</t>
  </si>
  <si>
    <t>TAG Veronica Vernique Raspberry 25/25 Portrait Tag</t>
  </si>
  <si>
    <t>TAG Veronica Vernique Rose Longifolia 25/25 Portrait Tag</t>
  </si>
  <si>
    <t>TAG Veronica Vernique Shining Sea 25/25 Portrait Tag</t>
  </si>
  <si>
    <t>TAG Veronica Vernique White Longifolia 25/25 Portrait Tag</t>
  </si>
  <si>
    <t>TAG Veronica Waterperry 25/25 Portrait Tag</t>
  </si>
  <si>
    <t>TAG Veronica Whitewater Peduncularis 25/25 Portrait Tag</t>
  </si>
  <si>
    <t>TAG Vinca Minor Alba 25/25 Portrait Tag</t>
  </si>
  <si>
    <t>TAG Vinca Minor Atropurpurea 25/25 Portrait Tag</t>
  </si>
  <si>
    <t>TAG Vinca Blockbuster Apricot 100/100 Pixie Tag SF</t>
  </si>
  <si>
    <t>TAG Vinca Blockbuster Blue 100/100 Pixie Tag SF</t>
  </si>
  <si>
    <t>TAG Vinca Blockbuster Burgundy 100/100 Pixie Tag SF</t>
  </si>
  <si>
    <t>TAG Vinca Blockbuster Crimson 100/100 Pixie Tag SF</t>
  </si>
  <si>
    <t>TAG Vinca Blockbuster Dark Red 100/100 Pixie Tag SF</t>
  </si>
  <si>
    <t>TAG Vinca Blockbuster Icy Watermelon 100/100 Pixie Tag SF</t>
  </si>
  <si>
    <t>TAG Vinca Blockbuster Mix 100/100 Pixie Tag SF</t>
  </si>
  <si>
    <t>TAG Vinca Blockbuster Peppermint 100/100 Pixie Tag SF</t>
  </si>
  <si>
    <t>TAG Vinca Blockbuster Punch 100/100 Pixie Tag SF</t>
  </si>
  <si>
    <t>TAG Vinca Blockbuster Purple 100/100 Pixie Tag SF</t>
  </si>
  <si>
    <t>TAG Vinca Blockbuster Red With Eye 100/100 Pixie Tag SF</t>
  </si>
  <si>
    <t>TAG Vinca Blockbuster White 100/100 Pixie Tag SF</t>
  </si>
  <si>
    <t>TAG Vinca Minor Bowles 100/100 Pixie Tag</t>
  </si>
  <si>
    <t>TAG Vinca Minor Bowles Cunningham 100/100 Pixie Tag DO FUL</t>
  </si>
  <si>
    <t>TAG Vinca Minor Bowles Cunningham 25/25 Portrait Tag</t>
  </si>
  <si>
    <t>TAG Vinca Minor Bowles Variety 25/25 Portrait Tag</t>
  </si>
  <si>
    <t>TAG Vinca Cooler Grape 100/100 Pixie Tag</t>
  </si>
  <si>
    <t>TAG Vinca Cooler Mix 100/100 Pixie Tag</t>
  </si>
  <si>
    <t>TAG Vinca Cooler Peppermint 100/100 Pixie Tag</t>
  </si>
  <si>
    <t>TAG Vinca Cooler Red 100/100 Pixie Tag</t>
  </si>
  <si>
    <t>TAG Vinca Cora Apricot 100/100 Pixie Tag SF</t>
  </si>
  <si>
    <t>TAG Vinca Cora Burgundy 100/100 Pixie Tag SF</t>
  </si>
  <si>
    <t>TAG Vinca Cora Cascade Apricot 100/100 Pixie Tag SF</t>
  </si>
  <si>
    <t>TAG Vinca Cora Cascade Bright Rose 100/100 Pixie Tag SF</t>
  </si>
  <si>
    <t>TAG Vinca Cora Cascade Cherry 100/100 Pixie Tag SF</t>
  </si>
  <si>
    <t>TAG Vinca Cora Cascade Lavender With Eye 100/100 Pixie Tag SF</t>
  </si>
  <si>
    <t>TAG Vinca Cora Cascade Lilac 100/100 Pixie Tag SF</t>
  </si>
  <si>
    <t>TAG Vinca Cora Cascade Magenta 100/100 Pixie Tag SF</t>
  </si>
  <si>
    <t>TAG Vinca Cora Cascade Mix 100/100 Pixie Tag SF</t>
  </si>
  <si>
    <t>TAG Vinca Cora Cascade Peach Blush 100/100 Pixie Tag SF</t>
  </si>
  <si>
    <t>TAG Vinca Cora Cascade Polka Dot 100/100 Pixie Tag SF</t>
  </si>
  <si>
    <t>TAG Vinca Cora Cascade Series 100/100 Pixie Tag SF</t>
  </si>
  <si>
    <t>TAG Vinca Cora Cascade Shell Pink 100/100 Pixie Tag SF</t>
  </si>
  <si>
    <t>TAG Vinca Cora Cascade Strawberry 100/100 Pixie Tag SF</t>
  </si>
  <si>
    <t>TAG Vinca Cora Cascade Violet 100/100 Pixie Tag SF</t>
  </si>
  <si>
    <t>TAG Vinca Cora Cascade White 100/100 Pixie Tag SF</t>
  </si>
  <si>
    <t>TAG Vinca Cora Cascade XDR Punch 100/100 Pixie Tag SF</t>
  </si>
  <si>
    <t>TAG Vinca Cora Deep Lavender 100/100 Pixie Tag SF</t>
  </si>
  <si>
    <t>TAG Vinca Cora Lavender 100/100 Pixie Tag SF</t>
  </si>
  <si>
    <t>TAG Vinca Cora Mix 100/100 Pixie Tag SF</t>
  </si>
  <si>
    <t>TAG Vinca Cora Pink 100/100 Pixie Tag SF</t>
  </si>
  <si>
    <t>TAG Vinca Cora Punch 100/100 Pixie Tag SF</t>
  </si>
  <si>
    <t>TAG Vinca Cora Red Classic 100/100 Pixie Tag SF</t>
  </si>
  <si>
    <t>TAG Vinca Cora Series 100/100 Pixie Tag SF</t>
  </si>
  <si>
    <t>TAG Vinca Cora Strawberry 100/100 Pixie Tag SF</t>
  </si>
  <si>
    <t>TAG Vinca Cora Violet 100/100 Pixie Tag SF</t>
  </si>
  <si>
    <t>TAG Vinca Cora White 100/100 Pixie Tag SF</t>
  </si>
  <si>
    <t>TAG Vinca Cora XDR Apricot 100/100 Pixie Tag SF</t>
  </si>
  <si>
    <t>TAG Vinca Cora XDR Cranberry 100/100 Pixie Tag SF</t>
  </si>
  <si>
    <t>TAG Vinca Cora XDR Deep Strawberry 100/100 Pixie Tag SF</t>
  </si>
  <si>
    <t>TAG Vinca Cora XDR Halo Magenta 100/100 Pixie Tag SF</t>
  </si>
  <si>
    <t>TAG Vinca Cora XDR Halo Pink 100/100 Pixie Tag SF</t>
  </si>
  <si>
    <t>TAG Vinca Cora XDR Hotgenta 100/100 Pixie Tag SF</t>
  </si>
  <si>
    <t>TAG Vinca Cora XDR Light Pink 100/100 Pixie Tag SF</t>
  </si>
  <si>
    <t>TAG Vinca Cora XDR Mix 100/100 Pixie Tag SF</t>
  </si>
  <si>
    <t>TAG Vinca Cora XDR Orchid 100/100 Pixie Tag SF</t>
  </si>
  <si>
    <t>TAG Vinca Cora XDR Polka Dot 100/100 Pixie Tag SF</t>
  </si>
  <si>
    <t>TAG Vinca Cora XDR Punch 100/100 Pixie Tag SF</t>
  </si>
  <si>
    <t>TAG Vinca Cora XDR Rose Punch 100/100 Pixie Tag</t>
  </si>
  <si>
    <t>TAG Vinca Cora XDR White 100/100 Pixie Tag SF</t>
  </si>
  <si>
    <t>TAG Vinca Major Expoflora 100/100 Pixie Tag</t>
  </si>
  <si>
    <t>TAG Vinca Minor Gertrude Jekyll 100/100 Pixie Tag DO FUL</t>
  </si>
  <si>
    <t>TAG Vinca GENERIC 100/100 Hang Tag</t>
  </si>
  <si>
    <t>TAG Vinca GENERIC 25/25 Portrait Tag</t>
  </si>
  <si>
    <t>TAG Vinca Bilingual GENERIC 100/100 Pixie Tag</t>
  </si>
  <si>
    <t>TAG Vinca Major Green 100/100 Pixie Tag</t>
  </si>
  <si>
    <t>TAG Vinca Major High Color 100/100 Pixie Tag</t>
  </si>
  <si>
    <t>TAG Vinca Major High Color 50/50 Petite Portrait DO FUL</t>
  </si>
  <si>
    <t>TAG Vinca Minor Illumination 100/100 Pixie Tag</t>
  </si>
  <si>
    <t>TAG Vinca Minor Illumination 25/25 Portrait Tag</t>
  </si>
  <si>
    <t>TAG Vinca Minor Illumination CN5425 100/100 Pixie Tag DO FUL</t>
  </si>
  <si>
    <t>TAG Vinca Jams N Jellies American Pie Mix 100/100 Pixie Tag</t>
  </si>
  <si>
    <t>TAG Vinca Jams N Jellies Blueberry 100/100 Pixie Tag</t>
  </si>
  <si>
    <t>TAG Vinca Jams N Jellies Blackberry 100/100 Pixie Tag</t>
  </si>
  <si>
    <t>TAG Vinca Major Maculata 100/100 Pixie Tag</t>
  </si>
  <si>
    <t>TAG Vinca Major Maculata 50/50 Petite Portrait DO FUL</t>
  </si>
  <si>
    <t>TAG Vinca Major Green 50/50 Petite Portrait DO FUL</t>
  </si>
  <si>
    <t>TAG Vinca Mediterranean Apricot Broadeye 100/100 Pixie Tag</t>
  </si>
  <si>
    <t>TAG Vinca Mediterranean XP Burgundy Halo 100/100 Pixie Tag</t>
  </si>
  <si>
    <t>TAG Vinca Mediterranean XP Dark Red 100/100 Pixie Tag</t>
  </si>
  <si>
    <t>TAG Vinca Mediterranean Deep Orchid 100/100 Pixie Tag</t>
  </si>
  <si>
    <t>TAG Vinca Mediterranean Deep Rose 100/100 Pixie Tag</t>
  </si>
  <si>
    <t>TAG Vinca Mediterranean XP Hot Rose 100/100 Pixie Tag</t>
  </si>
  <si>
    <t>TAG Vinca Mediterranean Lilac 100/100 Pixie Tag</t>
  </si>
  <si>
    <t>TAG Vinca Mediterranean XP Lipstick Mix 100/100 Pixie Tag</t>
  </si>
  <si>
    <t>TAG Vinca Mediterranean XP Mix 100/100 Pixie Tag</t>
  </si>
  <si>
    <t>TAG Vinca Mediterranean XP Peach 100/100 Pixie Tag</t>
  </si>
  <si>
    <t>TAG Vinca Mediterranean Polka Dot 100/100 Pixie Tag</t>
  </si>
  <si>
    <t>TAG Vinca Mediterranean XP Red 100/100 Pixie Tag</t>
  </si>
  <si>
    <t>TAG Vinca Mediterranean XP Rose Halo 100/100 Pixie Tag</t>
  </si>
  <si>
    <t>TAG Vinca Mediterranean XP Rose 100/100 Pixie Tag</t>
  </si>
  <si>
    <t>TAG Vinca Mediterranean Strawberry 100/100 Pixie Tag</t>
  </si>
  <si>
    <t>TAG Vinca Mediterranean XP Strawberry 100/100 Pixie Tag</t>
  </si>
  <si>
    <t>TAG Vinca Mediterranean XP White 100/100 Pixie Tag</t>
  </si>
  <si>
    <t>TAG Vinca Mega Bloom Orchid Halo 100/100 Pixie Tag</t>
  </si>
  <si>
    <t>TAG Vinca Mega Bloom Pink Halo 100/100 Pixie Tag</t>
  </si>
  <si>
    <t>TAG Vinca Mega Bloom Polka Dot 100/100 Pixie Tag</t>
  </si>
  <si>
    <t>TAG Vinca Mega Bloom Series 100/100 Pixie Tag</t>
  </si>
  <si>
    <t>TAG Vinca Minor Alba 100/100 Pixie Tag DO FUL</t>
  </si>
  <si>
    <t>TAG Vinca Minor Atropurpurea 100/100 Pixie Tag DO FUL</t>
  </si>
  <si>
    <t>TAG Vinca Minor Myrtle 50/50 Petite Portrait SF FUL</t>
  </si>
  <si>
    <t>TAG Vinca Minor Myrtle GENERIC 100/100 Pixie Tag</t>
  </si>
  <si>
    <t>TAG Vinca Minor Myrtle GENERIC 25/25 Portrait Tag</t>
  </si>
  <si>
    <t>TAG Vinca Nirvana Cascade Pink Splash 50/50 Petite Portrait SF FUL</t>
  </si>
  <si>
    <t>TAG Vinca Nirvana XDR Blackberry 50/50 Pixie Tag SF FUL</t>
  </si>
  <si>
    <t>TAG Vinca Nirvana XDR Blue Halo 50/50 Pixie Tag SF FUL</t>
  </si>
  <si>
    <t>TAG Vinca Nirvana XDR Blush Splash 50/50 Pixie Tag SF FUL</t>
  </si>
  <si>
    <t>TAG Vinca Nirvana XDR Cranberry Halo 50/50 Pixie Tag SF FUL</t>
  </si>
  <si>
    <t>TAG Vinca XP Pacifica XP Apricot 100/100 Pixie Tag</t>
  </si>
  <si>
    <t>TAG Vinca XP Pacifica XP Blush 100/100 Pixie Tag</t>
  </si>
  <si>
    <t>TAG Vinca XP Pacifica XP Bold Mix 100/100 Pixie Tag</t>
  </si>
  <si>
    <t>TAG Vinca XP Pacifica XP Burgundy Halo 100/100 Pixie Tag</t>
  </si>
  <si>
    <t>TAG Vinca XP Pacifica XP Burgundy 100/100 Pixie Tag</t>
  </si>
  <si>
    <t>TAG Vinca Pacifica Cherry Halo 100/100 Pixie Tag</t>
  </si>
  <si>
    <t>TAG Vinca Pacifica XP Cherry Red Halo 100/100 Pixie Tag</t>
  </si>
  <si>
    <t>TAG Vinca Pacifica XP Cranberry 100/100 Pixie Tag</t>
  </si>
  <si>
    <t>TAG Vinca Pacifica XP Dark Red 100/100 Pixie Tag</t>
  </si>
  <si>
    <t>TAG Vinca Pacifica XP Deep Orchid 100/100 Pixie Tag</t>
  </si>
  <si>
    <t>TAG Vinca Pacifica XP Halo Mix 100/100 Pixie Tag</t>
  </si>
  <si>
    <t>TAG Vinca Pacifica XP Icy Pink 100/100 Pixie Tag</t>
  </si>
  <si>
    <t>TAG Vinca Pacifica XP Lilac 100/100 Pixie Tag</t>
  </si>
  <si>
    <t>TAG Vinca Pacifica XP Lipstick Mix 100/100 Pixie Tag</t>
  </si>
  <si>
    <t>TAG Vinca Pacifica XP Merlot Mix 100/100 Pixie Tag</t>
  </si>
  <si>
    <t>TAG Vinca Pacifica XP Magenta Halo 100/100 Pixie Tag</t>
  </si>
  <si>
    <t>TAG Vinca Pacifica XP Mix 100/100 Pixie Tag</t>
  </si>
  <si>
    <t>TAG Vinca Pacifica XP Mystic Mix 100/100 Pixie Tag</t>
  </si>
  <si>
    <t>TAG Vinca Pacifica XP Orange 100/100 Pixie Tag</t>
  </si>
  <si>
    <t>TAG Vinca Pacifica Pink 100/100 Pixie Tag</t>
  </si>
  <si>
    <t>TAG Vinca Pacifica XP Polka Dot 100/100 Pixie Tag</t>
  </si>
  <si>
    <t>TAG Vinca Pacifica XP Punch 100/100 Pixie Tag</t>
  </si>
  <si>
    <t>TAG Vinca Pacifica Pure White 100/100 Pixie Tag</t>
  </si>
  <si>
    <t>TAG Vinca Pacifica XP Raspberry 100/100 Pixie Tag</t>
  </si>
  <si>
    <t>TAG Vinca Pacifica XP Really Red 100/100 Pixie Tag</t>
  </si>
  <si>
    <t>TAG Vinca Pacifica Red 100/100 Pixie Tag</t>
  </si>
  <si>
    <t>TAG Vinca Pacifica XP Rose Halo 100/100 Pixie Tag</t>
  </si>
  <si>
    <t>TAG Vinca Pacifica XP Series 100/100 Pixie Tag</t>
  </si>
  <si>
    <t>TAG Vinca Pacifica XP White 100/100 Pixie Tag</t>
  </si>
  <si>
    <t>TAG Vinca Polka Dot 100/100 Pixie Tag</t>
  </si>
  <si>
    <t>TAG Vinca Quasar Series 100/100 Pixie Tag</t>
  </si>
  <si>
    <t>TAG Vinca Minor Ralph Shugert 25/25 Portrait Tag</t>
  </si>
  <si>
    <t>TAG Vinca Minor Ralph Shugert CN5426 100/100 Pixie Tag DO FUL</t>
  </si>
  <si>
    <t>TAG Vinca Minor Ralph Shugert Limited Availability 50/50 Petite Portrait DO FUL</t>
  </si>
  <si>
    <t>TAG Vinca Sunjewels Blueberry 100/100 Pixie Tag</t>
  </si>
  <si>
    <t>TAG Vinca Sunjewels Lavender Halo 100/100 Pixie Tag</t>
  </si>
  <si>
    <t>TAG Vinca SunJewels Mix 100/100 Pixie Tag</t>
  </si>
  <si>
    <t>TAG Vinca SunJewels Peach Shades 100/100 Pixie Tag</t>
  </si>
  <si>
    <t>TAG Vinca SunJewels Peppermint 100/100 Pixie Tag</t>
  </si>
  <si>
    <t>TAG Vinca SunJewels Pink With Eye 100/100 Pixie Tag</t>
  </si>
  <si>
    <t>TAG Vinca SunJewels Red With Eye 100/100 Pixie Tag</t>
  </si>
  <si>
    <t>TAG Vinca SunJewels Rose With Eye 100/100 Pixie Tag</t>
  </si>
  <si>
    <t>TAG Vinca SunJewels Strawberry 100/100 Pixie Tag</t>
  </si>
  <si>
    <t>TAG Vinca SunJewels White 100/100 Pixie Tag</t>
  </si>
  <si>
    <t>TAG Vinca Sunstorm Apricot 100/100 Pixie Tag SF</t>
  </si>
  <si>
    <t>TAG Vinca Sunstorm Blush 100/100 Pixie Tag SF</t>
  </si>
  <si>
    <t>TAG Vinca Sunstorm Bright Red 100/100 Pixie Tag SF</t>
  </si>
  <si>
    <t>TAG Vinca Sunstorm Deep Lilac 100/100 Pixie Tag SF</t>
  </si>
  <si>
    <t>TAG Vinca Sunstorm Deep Orchid 100/100 Pixie Tag SF</t>
  </si>
  <si>
    <t>TAG Vinca Sunstorm Deep Pink 100/100 Pixie Tag SF</t>
  </si>
  <si>
    <t>TAG Vinca Sunstorm Formula Mix 100/100 Pixie Tag SF</t>
  </si>
  <si>
    <t>TAG Vinca Sunstorm Light Blue 100/100 Pixie Tag SF</t>
  </si>
  <si>
    <t>TAG Vinca Sunstorm Pure White 100/100 Pixie Tag SF</t>
  </si>
  <si>
    <t>TAG Vinca Sunstorm Purple 100/100 Pixie Tag SF</t>
  </si>
  <si>
    <t>TAG Vinca Sunstorm Red 100/100 Pixie Tag SF</t>
  </si>
  <si>
    <t>TAG Vinca Sunstorm Red Halo 100/100 Pixie Tag SF</t>
  </si>
  <si>
    <t>TAG Vinca Sunstorm Rose With Eye 100/100 Pixie Tag SF</t>
  </si>
  <si>
    <t>TAG Vinca Sunstorm White With Eye 100/100 Pixie Tag SF</t>
  </si>
  <si>
    <t>TAG Vinca Tattoo American Pie Mix 100/100 Pixie Tag</t>
  </si>
  <si>
    <t>TAG Vinca Tattoo Black Cherry 100/100 Pixie Tag</t>
  </si>
  <si>
    <t>TAG Vinca Tattoo Blueberry 100/100 Pixie Tag</t>
  </si>
  <si>
    <t>TAG Vinca Tattoo Orange 100/100 Pixie Tag</t>
  </si>
  <si>
    <t>TAG Vinca Tattoo Papaya 100/100 Pixie Tag</t>
  </si>
  <si>
    <t>TAG Vinca Tattoo Raspberry 100/100 Pixie Tag</t>
  </si>
  <si>
    <t>TAG Vinca Tattoo Tangerine 100/100 Pixie Tag</t>
  </si>
  <si>
    <t>TAG Vinca Titan Apricot 100/100 Pixie Tag</t>
  </si>
  <si>
    <t>TAG Vinca Titan Blush 100/100 Pixie Tag</t>
  </si>
  <si>
    <t>TAG Vinca Titan Bubble Gum Mix 100/100 Pixie Tag</t>
  </si>
  <si>
    <t>TAG Vinca Titan Burgundy 100/100 Pixie Tag</t>
  </si>
  <si>
    <t>TAG Vinca Titan Clear Mix 100/100 Pixie Tag</t>
  </si>
  <si>
    <t>TAG Vinca Titan Cotton Candy Mix 100/100 Pixie Tag</t>
  </si>
  <si>
    <t>TAG Vinca Titan Cranberry 100/100 Pixie Tag</t>
  </si>
  <si>
    <t>TAG Vinca Titan Dark Red 100/100 Pixie Tag</t>
  </si>
  <si>
    <t>TAG Vinca Titan Icy Pink 100/100 Pixie Tag</t>
  </si>
  <si>
    <t>TAG Vinca Titan Lavender Bl Halo 100/100 Pixie Tag</t>
  </si>
  <si>
    <t>TAG Vinca Titan Lilac 100/100 Pixie Tag</t>
  </si>
  <si>
    <t>TAG Vinca Titan Mix 100/100 Pixie Tag</t>
  </si>
  <si>
    <t>TAG Vinca Titan Polka Dot 100/100 Pixie Tag</t>
  </si>
  <si>
    <t>TAG Vinca Titan Punch 100/100 Pixie Tag</t>
  </si>
  <si>
    <t>TAG Vinca Titan Pure White 100/100 Pixie Tag</t>
  </si>
  <si>
    <t>TAG Vinca Titan Really Red 100/100 Pixie Tag</t>
  </si>
  <si>
    <t>TAG Vinca Titan Red And White Mix 100/100 Pixie Tag</t>
  </si>
  <si>
    <t>TAG Vinca Titan Romance Mix 100/100 Pixie Tag</t>
  </si>
  <si>
    <t>TAG Vinca Titan Rose 100/100 Pixie Tag</t>
  </si>
  <si>
    <t>TAG Vinca Titan Rose Halo 100/100 Pixie Tag</t>
  </si>
  <si>
    <t>TAG Vinca Titan Series 100/100 Pixie Tag</t>
  </si>
  <si>
    <t>TAG Vinca Titan Summer Breeze Mix 100/100 Pixie Tag</t>
  </si>
  <si>
    <t>TAG Vinca Titan White 100/100 Pixie Tag</t>
  </si>
  <si>
    <t>TAG Vinca Trailing GENERIC 100/100 Pixie Tag</t>
  </si>
  <si>
    <t>TAG Vinca Upright GENERIC 100/100 Pixie Tag</t>
  </si>
  <si>
    <t>TAG Vinca Upright Purple GENERIC 100/100 Pixie Tag</t>
  </si>
  <si>
    <t>TAG Vinca Upright Red GENERIC 100/100 Pixie Tag</t>
  </si>
  <si>
    <t>TAG Vinca Upright White GENERIC 100/100 Pixie Tag</t>
  </si>
  <si>
    <t>TAG Vinca Valiant Apricot 100/100 Pixie Tag</t>
  </si>
  <si>
    <t>TAG Vinca Valiant Burgundy 100/100 Pixie Tag</t>
  </si>
  <si>
    <t>TAG Vinca Valiant Lilac 100/100 Pixie Tag</t>
  </si>
  <si>
    <t>TAG Vinca Valiant Magenta 100/100 Pixie Tag</t>
  </si>
  <si>
    <t>TAG Vinca Valiant Mix 100/100 Pixie Tag</t>
  </si>
  <si>
    <t>TAG Vinca Valiant Orchid 100/100 Pixie Tag</t>
  </si>
  <si>
    <t>TAG Vinca Valiant Punch 100/100 Pixie Tag</t>
  </si>
  <si>
    <t>TAG Vinca Valiant Pure White 100/100 Pixie Tag</t>
  </si>
  <si>
    <t>TAG Vinca Major Variegata 25/25 Portrait Tag</t>
  </si>
  <si>
    <t>TAG Vinca Major Variegata 50/50 Petite Portrait DO FUL</t>
  </si>
  <si>
    <t>TAG Vinca Major Variegata Bilingual 100/100 Pixie Tag</t>
  </si>
  <si>
    <t>TAG Vinca Victory Blue 100/100 Pixie Tag</t>
  </si>
  <si>
    <t>TAG Vinca Victory Cranberry 100/100 Pixie Tag</t>
  </si>
  <si>
    <t>TAG Vinca Victory Purple 100/100 Pixie Tag</t>
  </si>
  <si>
    <t>TAG Vinca Victory Red 100/100 Pixie Tag</t>
  </si>
  <si>
    <t>TAG Vinca Virtuosa Apricot 100/100 Pixie Tag</t>
  </si>
  <si>
    <t>TAG Vinca Virtuosa Cranberry 100/100 Pixie Tag</t>
  </si>
  <si>
    <t>TAG Vinca Virtuosa Deep Purple 100/100 Pixie Tag</t>
  </si>
  <si>
    <t>TAG Vinca Virtuosa Deep Red 100/100 Pixie Tag</t>
  </si>
  <si>
    <t>TAG Vinca Virtuosa Lavender 100/100 Pixie Tag</t>
  </si>
  <si>
    <t>TAG Vinca Virtuosa Mix 100/100 Pixie Tag</t>
  </si>
  <si>
    <t>TAG Vinca Virtuosa Orchid 100/100 Pixie Tag</t>
  </si>
  <si>
    <t>TAG Vinca Virtuosa Pink 100/100 Pixie Tag</t>
  </si>
  <si>
    <t>TAG Vinca Virtuosa Polka Dot 100/100 Pixie Tag</t>
  </si>
  <si>
    <t>TAG Vinca Virtuosa Punch 100/100 Pixie Tag</t>
  </si>
  <si>
    <t>TAG Vinca Virtuosa Raspberry 100/100 Pixie Tag</t>
  </si>
  <si>
    <t>TAG Vinca Virtuosa Rose 100/100 Pixie Tag</t>
  </si>
  <si>
    <t>TAG Vinca Virtuosa White 100/100 Pixie Tag</t>
  </si>
  <si>
    <t>TAG Vinca Vitesse Patriot Mix 100/100 Pixie Tag SF</t>
  </si>
  <si>
    <t>TAG Vinca Vitesse Series 100/100 Pixie Tag SF</t>
  </si>
  <si>
    <t>TAG Vinca Major Wojo's Jem 100/100 Pixie Tag</t>
  </si>
  <si>
    <t>TAG Vinca Major Wojo's Jem 50/50 Petite Portrait DO FUL</t>
  </si>
  <si>
    <t>TAG Viola Admire Blue Heaven 100/100 Pixie Tag</t>
  </si>
  <si>
    <t>TAG Viola Admire Cream 100/100 Pixie Tag</t>
  </si>
  <si>
    <t>TAG Viola Admire Red Yellow Face 100/100 Pixie Tag</t>
  </si>
  <si>
    <t>TAG Viola Blue Moon 25/25 Portrait Tag</t>
  </si>
  <si>
    <t>TAG Viola ColorMax Blue Jeans 100/100 Pixie Tag</t>
  </si>
  <si>
    <t>TAG Viola ColorMax White 100/100 Pixie Tag</t>
  </si>
  <si>
    <t>TAG Viola Delta Speedy White With Blotch 100/100 Pixie Tag</t>
  </si>
  <si>
    <t>TAG Viola Deltini Lavender Pink Face 100/100 Pixie Tag SF</t>
  </si>
  <si>
    <t>TAG Viola Viola GENERIC 100/100 Hang Tag</t>
  </si>
  <si>
    <t>TAG Viola Viola Bilingual GENERIC 100/100 Pixie Tag</t>
  </si>
  <si>
    <t>TAG Viola Grandio Lavender Shades 100/100 Pixie Tag</t>
  </si>
  <si>
    <t>TAG Viola Highflyer Series 100/100 Pixie Tag</t>
  </si>
  <si>
    <t>TAG Viola Inspire DeluXXe Red Blotch 100/100 Pixie Tag</t>
  </si>
  <si>
    <t>TAG Viola Inspire Plus Blue Blotch 100/100 Pixie Tag</t>
  </si>
  <si>
    <t>TAG Viola Inspire Plus Series 100/100 Pixie Tag</t>
  </si>
  <si>
    <t>TAG Viola Sorbet Antique Shades 100/100 Pixie Tag</t>
  </si>
  <si>
    <t>TAG Viola Sorbet XP Autumn Select Mix 100/100 Pixie Tag</t>
  </si>
  <si>
    <t>TAG Viola Sorbet Babyface Mix 100/100 Pixie Tag</t>
  </si>
  <si>
    <t>TAG Viola Sorbet Babyface Ruby And Gold 100/100 Pixie Tag</t>
  </si>
  <si>
    <t>TAG Viola Sorbet XP Beaconberry Mix 100/100 Pixie Tag</t>
  </si>
  <si>
    <t>TAG Viola Sorbet XP Beaconsfield 100/100 Pixie Tag</t>
  </si>
  <si>
    <t>TAG Viola Sorbet XP Blueberry Frost Mix 100/100 Pixie Tag</t>
  </si>
  <si>
    <t>TAG Viola Sorbet XP Blueberry Sundae Mix 100/100 Pixie Tag</t>
  </si>
  <si>
    <t>TAG Viola Sorbet Black Delight 100/100 Pixie Tag</t>
  </si>
  <si>
    <t>TAG Viola Sorbet XP Blackberry Sundae Mix 100/100 Pixie Tag</t>
  </si>
  <si>
    <t>TAG Viola Sorbet XP Blackberry 100/100 Pixie Tag</t>
  </si>
  <si>
    <t>TAG Viola Sorbet XP Blotch Mix 100/100 Pixie Tag</t>
  </si>
  <si>
    <t>TAG Viola Sorbet XP Blue Blotch 100/100 Pixie Tag</t>
  </si>
  <si>
    <t>TAG Viola Sorbet Blue Heaven 100/100 Pixie Tag</t>
  </si>
  <si>
    <t>TAG Viola Sorbet Carmine Rose 100/100 Pixie Tag</t>
  </si>
  <si>
    <t>TAG Viola Sorbet XP Citrus Mix 100/100 Pixie Tag</t>
  </si>
  <si>
    <t>TAG Viola Sorbet XP Coconut Swirl 100/100 Pixie Tag</t>
  </si>
  <si>
    <t>TAG Viola Sorbet XP Deep Orange 100/100 Pixie Tag</t>
  </si>
  <si>
    <t>TAG Viola Sorbet XP Delft Blue 100/100 Pixie Tag</t>
  </si>
  <si>
    <t>TAG Viola Sorbet Fire 100/100 Pixie Tag</t>
  </si>
  <si>
    <t>TAG Viola Sorbet XP Harvest Mix 100/100 Pixie Tag</t>
  </si>
  <si>
    <t>TAG Viola Sorbet Honeybee 100/100 Pixie Tag</t>
  </si>
  <si>
    <t>TAG Viola Sorbet Icy Blue 100/100 Pixie Tag</t>
  </si>
  <si>
    <t>TAG Viola Sorbet Jump Up Black 100/100 Pixie Tag</t>
  </si>
  <si>
    <t>TAG Viola Sorbet Jump Up Denim 100/100 Pixie Tag</t>
  </si>
  <si>
    <t>TAG Viola Sorbet XP Jump Up Lemon 100/100 Pixie Tag</t>
  </si>
  <si>
    <t>TAG Viola Sorbet XP Jump Up Mix 100/100 Pixie Tag</t>
  </si>
  <si>
    <t>TAG Viola Sorbet XP Jump Up Orange 100/100 Pixie Tag</t>
  </si>
  <si>
    <t>TAG Viola Sorbet XP Jump Up White 100/100 Pixie Tag</t>
  </si>
  <si>
    <t>TAG Viola Sorbet Jump Up Yellow Blue 100/100 Pixie Tag</t>
  </si>
  <si>
    <t>TAG Viola Sorbet Jump Up Yellow Burgundy 100/100 Pixie Tag</t>
  </si>
  <si>
    <t>TAG Viola Sorbet XP Jump Up Yellow Pink 100/100 Pixie Tag</t>
  </si>
  <si>
    <t>TAG Viola Sorbet XP Jump Up Yellow 100/100 Pixie Tag</t>
  </si>
  <si>
    <t>TAG Viola Sorbet XP Lavender Pink 100/100 Pixie Tag</t>
  </si>
  <si>
    <t>TAG Viola Sorbet Lilac Ice 100/100 Pixie Tag</t>
  </si>
  <si>
    <t>TAG Viola Sorbet Lemon Chiffon 100/100 Pixie Tag</t>
  </si>
  <si>
    <t>TAG Viola Sorbet XP Lmn Ice Blotch 100/100 Pixie Tag</t>
  </si>
  <si>
    <t>TAG Viola Sorbet XP Lmn Prfait Mix 100/100 Pixie Tag</t>
  </si>
  <si>
    <t>TAG Viola Sorbet XP Marina 100/100 Pixie Tag</t>
  </si>
  <si>
    <t>TAG Viola Sorbet Midnight Glow 100/100 Pixie Tag</t>
  </si>
  <si>
    <t>TAG Viola Sorbet Mix 100/100 Pixie Tag</t>
  </si>
  <si>
    <t>TAG Viola Sorbet XP Mix 100/100 Pixie Tag</t>
  </si>
  <si>
    <t>TAG Viola Sorbet XP Morpho 100/100 Pixie Tag</t>
  </si>
  <si>
    <t>TAG Viola Sorbet XP Neptune 100/100 Pixie Tag</t>
  </si>
  <si>
    <t>TAG Viola Sorbet Ocean Breeze Mix 100/100 Pixie Tag</t>
  </si>
  <si>
    <t>TAG Viola Sorbet Orange Delight 100/100 Pixie Tag</t>
  </si>
  <si>
    <t>TAG Viola Sorbet Orange Duet 100/100 Pixie Tag</t>
  </si>
  <si>
    <t>TAG Viola Sorbet XP Orange 100/100 Pixie Tag</t>
  </si>
  <si>
    <t>TAG Viola Sorbet XP Orchid Rose Bcn 100/100 Pixie Tag</t>
  </si>
  <si>
    <t>TAG Viola Sorbet XP Pink Halo 100/100 Pixie Tag</t>
  </si>
  <si>
    <t>TAG Viola Sorbet XP Pink Wing 100/100 Pixie Tag</t>
  </si>
  <si>
    <t>TAG Viola Sorbet XP Primrose Blotch 100/100 Pixie Tag</t>
  </si>
  <si>
    <t>TAG Viola Sorbet XP Purple Face 100/100 Pixie Tag</t>
  </si>
  <si>
    <t>TAG Viola Sorbet XP Purple 100/100 Pixie Tag</t>
  </si>
  <si>
    <t>TAG Viola Sorbet XP Raspberry Sndae Mix 100/100 Pixie Tag</t>
  </si>
  <si>
    <t>TAG Viola Sorbet XP Raspberry 100/100 Pixie Tag</t>
  </si>
  <si>
    <t>TAG Viola Sorbet Red Blotch 100/100 Pixie Tag</t>
  </si>
  <si>
    <t>TAG Viola Sorbet XP Red 100/100 Pixie Tag</t>
  </si>
  <si>
    <t>TAG Viola Sorbet XP Rose Blotch 100/100 Pixie Tag</t>
  </si>
  <si>
    <t>TAG Viola Sorbet Rose Wing 100/100 Pixie Tag</t>
  </si>
  <si>
    <t>TAG Viola Sorbet XP Select Mix 100/100 Pixie Tag</t>
  </si>
  <si>
    <t>TAG Viola Sorbet Series 25/25 Portrait Tag</t>
  </si>
  <si>
    <t>TAG Viola Sorbet XP Spring Select Mix 100/100 Pixie Tag</t>
  </si>
  <si>
    <t>TAG Viola Sorbet Sunny Royale 100/100 Pixie Tag</t>
  </si>
  <si>
    <t>TAG Viola Sorbet XP Yesterday, Today And Tmorrow 100/100 Pixie Tag</t>
  </si>
  <si>
    <t>TAG Viola Sorbet Tiger Eye 100/100 Pixie Tag</t>
  </si>
  <si>
    <t>TAG Viola Sorbet XP True Blue 100/100 Pixie Tag</t>
  </si>
  <si>
    <t>TAG Viola Sorbet XP Violet Beacon 100/100 Pixie Tag</t>
  </si>
  <si>
    <t>TAG Viola Sorbet XP White Blotch 100/100 Pixie Tag</t>
  </si>
  <si>
    <t>TAG Viola Sorbet XP White 100/100 Pixie Tag</t>
  </si>
  <si>
    <t>TAG Viola Sorbet Yellow Beacon 100/100 Pixie Tag</t>
  </si>
  <si>
    <t>TAG Viola Sorbet XP Yellow Blotch 100/100 Pixie Tag</t>
  </si>
  <si>
    <t>TAG Viola Sorbet Yellow Delight 100/100 Pixie Tag</t>
  </si>
  <si>
    <t>TAG Viola Sorbet XP Yellow Duet 100/100 Pixie Tag</t>
  </si>
  <si>
    <t>TAG Viola Sorbet Yellow Pink Wing 100/100 Pixie Tag</t>
  </si>
  <si>
    <t>TAG Viola Sorbet XP Yellow 100/100 Pixie Tag</t>
  </si>
  <si>
    <t>TAG Viola Starry Night 25/25 Portrait Tag</t>
  </si>
  <si>
    <t>TAG Viola Tiger Eye Mix 100/100 Pixie Tag SF</t>
  </si>
  <si>
    <t>TAG Viola Tiger Eye Red 100/100 Pixie Tag SF</t>
  </si>
  <si>
    <t>TAG Viola Tiger Eye Yellow 100/100 Pixie Tag SF</t>
  </si>
  <si>
    <t>TAG Viola Tiger Eyes 100/100 Pixie Tag SF</t>
  </si>
  <si>
    <t>TAG Viola Trailing Pansy GENERIC 100/100 Pixie Tag</t>
  </si>
  <si>
    <t>TAG Viola True Blue GENERIC 100/100 Pixie Tag</t>
  </si>
  <si>
    <t>TAG Pansy Ultima Morpho 100/100 Pixie Tag</t>
  </si>
  <si>
    <t>TAG Pansy Ultima Radiance Red 100/100 Pixie Tag</t>
  </si>
  <si>
    <t>TAG Pansy Ultima Radiance Violet 100/100 Pixie Tag</t>
  </si>
  <si>
    <t>TAG Viola Violet GENERIC 25/25 Portrait Tag</t>
  </si>
  <si>
    <t>TAG Viola Watercolors Mix 100/100 Pixie Tag</t>
  </si>
  <si>
    <t>TAG Pansy Whiskers Orange 100/100 Pixie Tag</t>
  </si>
  <si>
    <t>TAG Pansy Whiskers Purple And White 100/100 Pixie Tag</t>
  </si>
  <si>
    <t>TAG Pansy Whiskers Red And Gold 100/100 Pixie Tag</t>
  </si>
  <si>
    <t>TAG Pansy Whiskers White 100/100 Pixie Tag</t>
  </si>
  <si>
    <t>TAG Pansy Whiskers Yellow 100/100 Pixie Tag</t>
  </si>
  <si>
    <t>TAG Viola White GENERIC 100/100 Pixie Tag</t>
  </si>
  <si>
    <t>TAG Viola White Bilingual GENERIC 100/100 Pixie Tag</t>
  </si>
  <si>
    <t>TAG Viola White With Blotch Bilingual GENERIC 100/100 Pixie Tag</t>
  </si>
  <si>
    <t>TAG Pansy WonderFall Rose Shades With Face 100/100 Pixie Tag</t>
  </si>
  <si>
    <t>TAG Pansy WonderFall Yellow 100/100 Pixie Tag</t>
  </si>
  <si>
    <t>TAG Pansy WonderFall Yellow With Red Wing 100/100 Pixie Tag</t>
  </si>
  <si>
    <t>TAG Viola Yellow GENERIC 100/100 Pixie Tag</t>
  </si>
  <si>
    <t>TAG Viola Yellow Bilingual GENERIC 100/100 Pixie Tag</t>
  </si>
  <si>
    <t>TAG Viola Yellow With Blotch Bilingual GENERIC 100/100 Pixie Tag</t>
  </si>
  <si>
    <t>TAG Waldsteinia Ternata 25/25 Portrait Tag</t>
  </si>
  <si>
    <t>TAG Watermelon Black Diamond 100/100 Pixie Tag</t>
  </si>
  <si>
    <t>TAG Watermelon Cal Sweet Bush 100/100 Pixie Tag</t>
  </si>
  <si>
    <t>TAG Watermelon Century Star 100/100 Pixie Tag</t>
  </si>
  <si>
    <t>TAG Watermelon Charleston Gray 100/100 Pixie Tag</t>
  </si>
  <si>
    <t>TAG Watermelon Crimson Sweet 100/100 Pixie Tag</t>
  </si>
  <si>
    <t>TAG Watermelon Crimson Sweet 200/200 Thriftee Tag</t>
  </si>
  <si>
    <t>TAG Watermelon Dixie Queen 100/100 Pixie Tag</t>
  </si>
  <si>
    <t>TAG Watermelon GENERIC 100/100 Pixie Tag</t>
  </si>
  <si>
    <t>TAG Watermelon Jubilee 100/100 Pixie Tag</t>
  </si>
  <si>
    <t>TAG Watermelon Mambo 100/100 Pixie Tag</t>
  </si>
  <si>
    <t>TAG Watermelon Mini Love 100/100 Pixie Tag</t>
  </si>
  <si>
    <t>TAG Watermelon Moon And Stars 100/100 Pixie Tag</t>
  </si>
  <si>
    <t>TAG Watermelon Orange GENERIC 100/100 Pixie Tag</t>
  </si>
  <si>
    <t>TAG Watermelon Sangria 100/100 Pixie Tag SF</t>
  </si>
  <si>
    <t>TAG Watermelon Seedless GENERIC 100/100 Pixie Tag</t>
  </si>
  <si>
    <t>TAG Watermelon Shiny Boy 100/100 Pixie Tag</t>
  </si>
  <si>
    <t>TAG Watermelon Sugar Baby 100/100 Pixie Tag</t>
  </si>
  <si>
    <t>TAG Watermelon Sweet Baby 100/100 Pixie Tag</t>
  </si>
  <si>
    <t>TAG Watermelon Sweet Favorite Hybrid 100/100 Pixie Tag</t>
  </si>
  <si>
    <t>TAG Watermelon Yellow Baby 100/100 Pixie Tag</t>
  </si>
  <si>
    <t>TAG Watermelon Yellow Doll 100/100 Pixie Tag</t>
  </si>
  <si>
    <t>TAG Wedelia GENERIC 100/100 Pixie Tag</t>
  </si>
  <si>
    <t>TAG Welcome To The Jungle House Plant 50/50 Petite Portrait DO FUL</t>
  </si>
  <si>
    <t>TAG Winter Savory 100/100 Pixie Tag</t>
  </si>
  <si>
    <t>TAG Zaluzianskya Orange Eye Ovata 25/25 Portrait Tag</t>
  </si>
  <si>
    <t>TAG Zaluzianskya Ovata 25/25 Portrait Tag</t>
  </si>
  <si>
    <t>TAG Zamia ZZ Plant 100/100 Pixie Tag</t>
  </si>
  <si>
    <t>TAG Zantedeschia Calla Lily 50/50 Petite Portrait DO FUL</t>
  </si>
  <si>
    <t>TAG Zantedeschia Calla Lily Acapulco Gold 50/50 Petite Portrait DO FUL</t>
  </si>
  <si>
    <t>TAG Zantedeschia Calla Lily Accent 50/50 Petite Portrait DO FUL</t>
  </si>
  <si>
    <t>TAG Zantedeschia Calla Lily Airbrush 50/50 Petite Portrait DO FUL</t>
  </si>
  <si>
    <t>TAG Zantedeschia Calla Lily Alice Springs 50/50 Petite Portrait DO FUL</t>
  </si>
  <si>
    <t>TAG Zantedeschia Calla Lily Apricot Lady 50/50 Petite Portrait DO FUL</t>
  </si>
  <si>
    <t>TAG Zantedeschia Calla Arabian Night 50/50 Petite Portrait DO FUL</t>
  </si>
  <si>
    <t>TAG Zantedeschia Calla Lily Aspen 50/50 Petite Portrait DO FUL</t>
  </si>
  <si>
    <t>TAG Zantedeschia Calla Lily Beatrix 50/50 Petite Portrait DO FUL</t>
  </si>
  <si>
    <t>TAG Zantedeschia Calla Beijing 50/50 Petite Portrait DO FUL</t>
  </si>
  <si>
    <t>TAG Zantedeschia Calla Belcanto 50/50 Petite Portrait DO FUL</t>
  </si>
  <si>
    <t>TAG Zantedeschia Calla Lily Bloody Mary 50/50 Petite Portrait DO FUL</t>
  </si>
  <si>
    <t>TAG Zantedeschia Calla Lily Brasilia 50/50 Petite Portrait DO FUL</t>
  </si>
  <si>
    <t>TAG Zantedeschia Calla Buffalo 50/50 Petite Portrait DO FUL</t>
  </si>
  <si>
    <t>TAG Zantedeschia Calla Lily Bullit 50/50 Petite Portrait DO FUL</t>
  </si>
  <si>
    <t>TAG Zantedeschia Calla Lily Callafornia Carnival 50/50 Petite Portrait DO FUL</t>
  </si>
  <si>
    <t>TAG Zantedeschia Calla Lily Callafornia Red 50/50 Petite Portrait DO FUL</t>
  </si>
  <si>
    <t>TAG Zantedeschia Calla Lily Cancun 50/50 Petite Portrait DO FUL</t>
  </si>
  <si>
    <t>TAG Zantedeschia Calla Lily Cantor 50/50 Petite Portrait DO FUL</t>
  </si>
  <si>
    <t>TAG Zantedeschia Calla Lily Capitola 50/50 Petite Portrait DO FUL</t>
  </si>
  <si>
    <t>TAG Zantedeschia Calla Lily Captain Brunello 50/50 Petite Portrait DO FUL</t>
  </si>
  <si>
    <t>TAG Zantedeschia Calla Lily Captain Fuego 50/50 Petite Portrait DO FUL</t>
  </si>
  <si>
    <t>TAG Zantedeschia Calla Lily Captain Marrero 50/50 Petite Portrait DO FUL</t>
  </si>
  <si>
    <t>TAG Zantedeschia Calla Lily Captain Morelli 50/50 Petite Portrait DO FUL</t>
  </si>
  <si>
    <t>TAG Zantedeschia Calla Lily Captain Odeon 50/50 Petite Portrait DO FUL</t>
  </si>
  <si>
    <t>TAG Zantedeschia Calla Lily Captain Promise 50/50 Petite Portrait DO FUL</t>
  </si>
  <si>
    <t>TAG Zantedeschia Calla Lily Captain Reno 50/50 Petite Portrait DO FUL</t>
  </si>
  <si>
    <t>TAG Zantedeschia Calla Lily Captain Romance 50/50 Petite Portrait DO FUL</t>
  </si>
  <si>
    <t>TAG Zantedeschia Calla Lily Captain Rosette 50/50 Petite Portrait DO FUL</t>
  </si>
  <si>
    <t>TAG Zantedeschia Calla Lily Captain Solo 50/50 Petite Portrait DO FUL</t>
  </si>
  <si>
    <t>TAG Zantedeschia Calla Lily Captain Trinity 50/50 Petite Portrait DO FUL</t>
  </si>
  <si>
    <t>TAG Zantedeschia Calla Lily Captain Ventura 50/50 Petite Portrait DO FUL</t>
  </si>
  <si>
    <t>TAG Zantedeschia Calla Lily Copacabana 50/50 Petite Portrait DO FUL</t>
  </si>
  <si>
    <t>TAG Zantedeschia Calla Lily Corazon 50/50 Petite Portrait DO FUL</t>
  </si>
  <si>
    <t>TAG Zantedeschia Calla Lily Crystal Blush 50/50 Petite Portrait DO FUL</t>
  </si>
  <si>
    <t>TAG Zantedeschia Calla Lily Crystal Clear 50/50 Petite Portrait DO FUL</t>
  </si>
  <si>
    <t>TAG Zantedeschia Calla Lily Crystal Queen 50/50 Petite Portrait DO FUL</t>
  </si>
  <si>
    <t>TAG Zantedeschia Calla Lily Denver 50/50 Petite Portrait DO FUL</t>
  </si>
  <si>
    <t>TAG Zantedeschia Calla Lily Devil's Wine 50/50 Petite Portrait DO FUL</t>
  </si>
  <si>
    <t>TAG Zantedeschia Calla Lily Diva Classica 50/50 Petite Portrait DO FUL</t>
  </si>
  <si>
    <t>TAG Zantedeschia Calla Lily Dreamland 50/50 Petite Portrait DO FUL</t>
  </si>
  <si>
    <t>TAG Zantedeschia Calla Lily Drenthe 50/50 Petite Portrait DO FUL</t>
  </si>
  <si>
    <t>TAG Zantedeschia Calla Lily Dubai Nights 50/50 Petite Portrait DO FUL</t>
  </si>
  <si>
    <t>TAG Zantedeschia Calla Durban 50/50 Petite Portrait DO FUL</t>
  </si>
  <si>
    <t>TAG Zantedeschia Calla Lily Fantasia 50/50 Petite Portrait DO FUL</t>
  </si>
  <si>
    <t>TAG Zantedeschia Calla Lily Festival 50/50 Petite Portrait DO FUL</t>
  </si>
  <si>
    <t>TAG Zantedeschia Calla Lily Flirt 50/50 Petite Portrait DO FUL</t>
  </si>
  <si>
    <t>TAG Zantedeschia Calla Lily Fursa 50/50 Petite Portrait DO FUL</t>
  </si>
  <si>
    <t>TAG Zantedeschia Calla Lily Garnet Glow 50/50 Petite Portrait DO FUL</t>
  </si>
  <si>
    <t>TAG Zantedeschia Zantedeschia Calla Lily GENERIC 100/100 Pixie Tag</t>
  </si>
  <si>
    <t>TAG Zantedeschia Zantedeschia Calla Lily GENERIC 25/25 Portrait Tag</t>
  </si>
  <si>
    <t>TAG Zantedeschia Calla Lily Gold Crown 50/50 Petite Portrait DO FUL</t>
  </si>
  <si>
    <t>TAG Zantedeschia Calla Lily Gold Fever 50/50 Petite Portrait DO FUL</t>
  </si>
  <si>
    <t>TAG Zantedeschia Calla Lily Gold Label 50/50 Petite Portrait DO FUL</t>
  </si>
  <si>
    <t>TAG Zantedeschia Calla Lily Gold Medal 50/50 Petite Portrait DO FUL</t>
  </si>
  <si>
    <t>TAG Zantedeschia Calla Lily Gold Rush 50/50 Petite Portrait DO FUL</t>
  </si>
  <si>
    <t>TAG Zantedeschia Calla Lily Grape Velvet 50/50 Petite Portrait DO FUL</t>
  </si>
  <si>
    <t>TAG Zantedeschia Calla Lily Hanoi 50/50 Petite Portrait DO FUL</t>
  </si>
  <si>
    <t>TAG Zantedeschia Calla Havana 50/50 Pixie Tag DO FUL</t>
  </si>
  <si>
    <t>TAG Zantedeschia Calla Lily Helvetia 50/50 Petite Portrait DO FUL</t>
  </si>
  <si>
    <t>TAG Zantedeschia Calla Lily Hot Coral 50/50 Petite Portrait DO FUL</t>
  </si>
  <si>
    <t>TAG Zantedeschia Calla Lily Ice Dancer 50/50 Petite Portrait DO FUL</t>
  </si>
  <si>
    <t>TAG Zantedeschia Calla Lily Intimate Ivory 50/50 Petite Portrait DO FUL</t>
  </si>
  <si>
    <t>TAG Zantedeschia Calla Lily Izzy Mae 50/50 Petite Portrait DO FUL</t>
  </si>
  <si>
    <t>TAG Zantedeschia Calla Lily Jack O' Lantern 50/50 Petite Portrait DO FUL</t>
  </si>
  <si>
    <t>TAG Zantedeschia Calla Lily Kasai 50/50 Petite Portrait DO FUL</t>
  </si>
  <si>
    <t>TAG Zantedeschia Calla Kunming 50/50 Petite Portrait DO FUL</t>
  </si>
  <si>
    <t>TAG Zantedeschia Calla Lily La Paz 50/50 Petite Portrait DO FUL</t>
  </si>
  <si>
    <t>TAG Zantedeschia Calla Lily Lady Marmalade 50/50 Petite Portrait DO FUL</t>
  </si>
  <si>
    <t>TAG Zantedeschia Calla Lily Laguna Beach 50/50 Petite Portrait DO FUL</t>
  </si>
  <si>
    <t>TAG Zantedeschia Calla Lily Le Reve 50/50 Petite Portrait DO FUL</t>
  </si>
  <si>
    <t>TAG Zantedeschia Calla Lily Lemon Drop 50/50 Petite Portrait DO FUL</t>
  </si>
  <si>
    <t>TAG Zantedeschia Calla Lily Lip Gloss 50/50 Petite Portrait DO FUL</t>
  </si>
  <si>
    <t>TAG Zantedeschia Calla Lily Long Beach 50/50 Petite Portrait DO FUL</t>
  </si>
  <si>
    <t>TAG Zantedeschia Calla Lily Macau 50/50 Petite Portrait DO FUL</t>
  </si>
  <si>
    <t>TAG Zantedeschia Calla Lily Manila 50/50 Petite Portrait DO FUL</t>
  </si>
  <si>
    <t>TAG Zantedeschia Calla Lily Mellow Yellow 50/50 Petite Portrait DO FUL</t>
  </si>
  <si>
    <t>TAG Zantedeschia Calla Lily Mercedes 50/50 Petite Portrait DO FUL</t>
  </si>
  <si>
    <t>TAG Zantedeschia Calla Lily Mint Julip 50/50 Petite Portrait DO FUL</t>
  </si>
  <si>
    <t>TAG Zantedeschia Calla Lily Monte Carlo 50/50 Petite Portrait DO FUL</t>
  </si>
  <si>
    <t>TAG Zantedeschia Calla Lily Montevideo 50/50 Petite Portrait DO FUL</t>
  </si>
  <si>
    <t>TAG Zantedeschia Calla Lily Moon Shadow 50/50 Petite Portrait DO FUL</t>
  </si>
  <si>
    <t>TAG Zantedeschia Calla Lily Morning Sun 50/50 Petite Portrait DO FUL</t>
  </si>
  <si>
    <t>TAG Zantedeschia Calla Lily Nashville 50/50 Petite Portrait DO FUL</t>
  </si>
  <si>
    <t>TAG Zantedeschia Calla Lily Natural Bouquet 50/50 Petite Portrait DO FUL</t>
  </si>
  <si>
    <t>TAG Zantedeschia Calla Lily Neon Killer 50/50 Petite Portrait DO FUL</t>
  </si>
  <si>
    <t>TAG Zantedeschia Calla Lily New York 50/50 Petite Portrait DO FUL</t>
  </si>
  <si>
    <t>TAG Zantedeschia Calla Lily Night Club 50/50 Petite Portrait DO FUL</t>
  </si>
  <si>
    <t>TAG Zantedeschia Calla Lily Night Life 50/50 Petite Portrait DO FUL</t>
  </si>
  <si>
    <t>TAG Zantedeschia Calla Lily Nikita 50/50 Petite Portrait DO FUL</t>
  </si>
  <si>
    <t>TAG Zantedeschia Calla Lily Novi Sun 50/50 Petite Portrait DO FUL</t>
  </si>
  <si>
    <t>TAG Zantedeschia Calla Lily Odessa 50/50 Petite Portrait DO FUL</t>
  </si>
  <si>
    <t>TAG Zantedeschia Calla Lily Orange Alert 50/50 Petite Portrait DO FUL</t>
  </si>
  <si>
    <t>TAG Zantedeschia Calla Lily Orange Pride 50/50 Petite Portrait DO FUL</t>
  </si>
  <si>
    <t>TAG Zantedeschia Calla Lily Outback 50/50 Petite Portrait DO FUL</t>
  </si>
  <si>
    <t>TAG Zantedeschia Calla Lily Paco 50/50 Petite Portrait DO FUL</t>
  </si>
  <si>
    <t>TAG Zantedeschia Calla Lily Pasja 50/50 Petite Portrait DO FUL</t>
  </si>
  <si>
    <t>TAG Zantedeschia Calla Lily Peach Pazazz 50/50 Petite Portrait DO FUL</t>
  </si>
  <si>
    <t>TAG Zantedeschia Calla Lily Peach Pearl 50/50 Petite Portrait DO FUL</t>
  </si>
  <si>
    <t>TAG Zantedeschia Calla Lily Peppermint Twist 50/50 Petite Portrait DO FUL</t>
  </si>
  <si>
    <t>TAG Zantedeschia Calla Lily Peter's Pride 50/50 Petite Portrait DO FUL</t>
  </si>
  <si>
    <t>TAG Zantedeschia Calla Lily Picasso 50/50 Petite Portrait DO FUL</t>
  </si>
  <si>
    <t>TAG Zantedeschia Calla Lily Pillow Talk 50/50 Petite Portrait DO FUL</t>
  </si>
  <si>
    <t>TAG Zantedeschia Calla Lily Pink Cloud 50/50 Petite Portrait DO FUL</t>
  </si>
  <si>
    <t>TAG Zantedeschia Calla Lily Pink Giant 50/50 Petite Portrait DO FUL</t>
  </si>
  <si>
    <t>TAG Zantedeschia Calla Pink Harmony 50/50 Petite Portrait DO FUL</t>
  </si>
  <si>
    <t>TAG Zantedeschia Calla Lily Pink Jewel 50/50 Petite Portrait DO FUL</t>
  </si>
  <si>
    <t>TAG Zantedeschia Calla Pink Pop 50/50 Petite Portrait DO FUL</t>
  </si>
  <si>
    <t>TAG Zantedeschia Calla Lily Pink Puppy 50/50 Petite Portrait DO FUL</t>
  </si>
  <si>
    <t>TAG Zantedeschia Calla Lily Pink Velvet 50/50 Petite Portrait DO FUL</t>
  </si>
  <si>
    <t>TAG Zantedeschia Calla Lily Purple Spirit 50/50 Petite Portrait DO FUL</t>
  </si>
  <si>
    <t>TAG Zantedeschia Calla Purple Symphony 50/50 Petite Portrait DO FUL</t>
  </si>
  <si>
    <t>TAG Zantedeschia Calla Lily Red Alert 50/50 Petite Portrait DO FUL</t>
  </si>
  <si>
    <t>TAG Zantedeschia Calla Lily Red Charm 50/50 Petite Portrait DO FUL</t>
  </si>
  <si>
    <t>TAG Zantedeschia Calla Lily Red Emotion 50/50 Petite Portrait DO FUL</t>
  </si>
  <si>
    <t>TAG Zantedeschia Calla Red Salsa 50/50 Petite Portrait DO FUL</t>
  </si>
  <si>
    <t>TAG Zantedeschia Calla Red Symphony 50/50 Petite Portrait DO FUL</t>
  </si>
  <si>
    <t>TAG Zantedeschia Calla Lily Red Velvet 50/50 Petite Portrait DO FUL</t>
  </si>
  <si>
    <t>TAG Zantedeschia Calla Lily Rio 50/50 Petite Portrait DO FUL</t>
  </si>
  <si>
    <t>TAG Zantedeschia Calla Lily Royal Plum 50/50 Petite Portrait DO FUL</t>
  </si>
  <si>
    <t>TAG Zantedeschia Calla Lily Royal Princess 50/50 Petite Portrait DO FUL</t>
  </si>
  <si>
    <t>TAG Zantedeschia Calla Lily Royal Valentine 50/50 Petite Portrait DO FUL</t>
  </si>
  <si>
    <t>TAG Zantedeschia Calla Lily Ruby Temptation 50/50 Petite Portrait DO FUL</t>
  </si>
  <si>
    <t>TAG Zantedeschia Calla Lily Rubylite Rose 50/50 Petite Portrait DO FUL</t>
  </si>
  <si>
    <t>TAG Zantedeschia Calla Lily Samur 50/50 Petite Portrait DO FUL</t>
  </si>
  <si>
    <t>TAG Zantedeschia Calla Lily Savannah 50/50 Petite Portrait DO FUL</t>
  </si>
  <si>
    <t>TAG Zantedeschia Calla Lily Snow Leopard 50/50 Petite Portrait DO FUL</t>
  </si>
  <si>
    <t>TAG Zantedeschia Calla Lily Snow Storm 50/50 Petite Portrait DO FUL</t>
  </si>
  <si>
    <t>TAG Zantedeschia Calla Lily Stingray 50/50 Petite Portrait DO FUL</t>
  </si>
  <si>
    <t>TAG Zantedeschia Calla Lily Strawberry Blush 50/50 Petite Portrait DO FUL</t>
  </si>
  <si>
    <t>TAG Zantedeschia Calla Lily Strawberry Delight 50/50 Petite Portrait DO FUL</t>
  </si>
  <si>
    <t>TAG Zantedeschia Calla Lily Sumatra 50/50 Petite Portrait DO FUL</t>
  </si>
  <si>
    <t>TAG Zantedeschia Calla Lily Summer Sun 50/50 Petite Portrait DO FUL</t>
  </si>
  <si>
    <t>TAG Zantedeschia Calla Lily Sun Club 50/50 Petite Portrait DO FUL</t>
  </si>
  <si>
    <t>TAG Zantedeschia Calla Lily Sunset Passion 50/50 Petite Portrait DO FUL</t>
  </si>
  <si>
    <t>TAG Zantedeschia Calla Lily Sunya 50/50 Petite Portrait DO FUL</t>
  </si>
  <si>
    <t>TAG Zantedeschia Calla Lily Sweet Talk 50/50 Petite Portrait DO FUL</t>
  </si>
  <si>
    <t>TAG Zantedeschia Calla Tokyo 50/50 Petite Portrait DO FUL</t>
  </si>
  <si>
    <t>TAG Zantedeschia Calla Lily Toronto 50/50 Petite Portrait DO FUL</t>
  </si>
  <si>
    <t>TAG Zantedeschia Calla Lily Torrey Pines 50/50 Petite Portrait DO FUL</t>
  </si>
  <si>
    <t>TAG Zantedeschia Calla Lily Tropical 50/50 Petite Portrait DO FUL</t>
  </si>
  <si>
    <t>TAG Zantedeschia Calla Lily Twilight 50/50 Petite Portrait DO FUL</t>
  </si>
  <si>
    <t>TAG Zantedeschia Calla Lily Universe 50/50 Petite Portrait DO FUL</t>
  </si>
  <si>
    <t>TAG Zantedeschia Calla Lily Valencia 50/50 Petite Portrait DO FUL</t>
  </si>
  <si>
    <t>TAG Zantedeschia Calla Lily Venice Beach 50/50 Petite Portrait DO FUL</t>
  </si>
  <si>
    <t>TAG Zantedeschia Calla Lily White Flirt 50/50 Petite Portrait DO FUL</t>
  </si>
  <si>
    <t>TAG Zantedeschia Calla Lily Whitehorse 50/50 Petite Portrait DO FUL</t>
  </si>
  <si>
    <t>TAG Zantedeschia Calla Lily Wild Salmon 50/50 Petite Portrait DO FUL</t>
  </si>
  <si>
    <t>TAG Zantedeschia Calla Lily Wisley 50/50 Petite Portrait DO FUL</t>
  </si>
  <si>
    <t>TAG Zinnia Belize Series 100/100 Pixie Tag</t>
  </si>
  <si>
    <t>TAG Zinnia Benary's Giant Bright Pink 100/100 Pixie Tag</t>
  </si>
  <si>
    <t>TAG Zinnia Benary's Giant Deep Red 100/100 Pixie Tag</t>
  </si>
  <si>
    <t>TAG Zinnia Benary's Giant Golden Yellow 100/100 Pixie Tag</t>
  </si>
  <si>
    <t>TAG Zinnia Benary's Giant Lime 100/100 Pixie Tag</t>
  </si>
  <si>
    <t>TAG Zinnia Benary's Giant Mix 100/100 Pixie Tag</t>
  </si>
  <si>
    <t>TAG Zinnia Benary's Giant Orange 100/100 Pixie Tag</t>
  </si>
  <si>
    <t>TAG Zinnia Benary's Giant Purple 100/100 Pixie Tag</t>
  </si>
  <si>
    <t>TAG Zinnia Benary's Giant Series 100/100 Pixie Tag</t>
  </si>
  <si>
    <t>TAG Zinnia Benary's Giant Wine 100/100 Pixie Tag</t>
  </si>
  <si>
    <t>TAG Zinnia Cactus Flowered Mix GENERIC 100/100 Pixie Tag</t>
  </si>
  <si>
    <t>TAG Zinnia Candy Mix 100/100 Pixie Tag</t>
  </si>
  <si>
    <t>TAG Zinnia Crystal Orange 100/100 Pixie Tag</t>
  </si>
  <si>
    <t>TAG Zinnia Crystal White 100/100 Pixie Tag</t>
  </si>
  <si>
    <t>TAG Zinnia Crystal Yellow 100/100 Pixie Tag</t>
  </si>
  <si>
    <t>TAG Zinnia Cut N Come Again 100/100 Pixie Tag</t>
  </si>
  <si>
    <t>TAG Zinnia Dreamland Coral 100/100 Pixie Tag</t>
  </si>
  <si>
    <t>TAG Zinnia Dreamland Ivory 100/100 Pixie Tag</t>
  </si>
  <si>
    <t>TAG Zinnia Dreamland Mix 100/100 Pixie Tag</t>
  </si>
  <si>
    <t>TAG Zinnia Dreamland Pink 100/100 Pixie Tag</t>
  </si>
  <si>
    <t>TAG Zinnia Dreamland Red 100/100 Pixie Tag</t>
  </si>
  <si>
    <t>TAG Zinnia Dreamland Rose 100/100 Pixie Tag</t>
  </si>
  <si>
    <t>TAG Zinnia Dreamland Scarlet 100/100 Pixie Tag</t>
  </si>
  <si>
    <t>TAG Zinnia Dreamland Yellow 100/100 Pixie Tag</t>
  </si>
  <si>
    <t>TAG Zinnia Dwarf GENERIC 100/100 Pixie Tag</t>
  </si>
  <si>
    <t>TAG Zinnia Envy 100/100 Pixie Tag</t>
  </si>
  <si>
    <t>TAG Zinnia GENERIC 25/25 Portrait Tag</t>
  </si>
  <si>
    <t>TAG Zinnia Bilingual GENERIC 100/100 Pixie Tag</t>
  </si>
  <si>
    <t>TAG Zinnia Holi Pink 100/100 Pixie Tag</t>
  </si>
  <si>
    <t>TAG Zinnia Holi Scarlet 100/100 Pixie Tag</t>
  </si>
  <si>
    <t>TAG Zinnia Lilliput Mix 100/100 Pixie Tag</t>
  </si>
  <si>
    <t>TAG Zinnia Magellan Cherry 100/100 Pixie Tag SF</t>
  </si>
  <si>
    <t>TAG Zinnia Magellan Coral 100/100 Pixie Tag SF</t>
  </si>
  <si>
    <t>TAG Zinnia Magellan Ivory 100/100 Pixie Tag SF</t>
  </si>
  <si>
    <t>TAG Zinnia Magellan Mix 100/100 Pixie Tag SF</t>
  </si>
  <si>
    <t>TAG Zinnia Magellan Orange 100/100 Pixie Tag SF</t>
  </si>
  <si>
    <t>TAG Zinnia Magellan Pink 100/100 Pixie Tag SF</t>
  </si>
  <si>
    <t>TAG Zinnia Magellan Salmon 100/100 Pixie Tag SF</t>
  </si>
  <si>
    <t>TAG Zinnia Magellan Scarlet 100/100 Pixie Tag SF</t>
  </si>
  <si>
    <t>TAG Zinnia Magellan Yellow 100/100 Pixie Tag SF</t>
  </si>
  <si>
    <t>TAG Zinnia Oklahoma Mix 100/100 Pixie Tag</t>
  </si>
  <si>
    <t>TAG Zinnia Preciosa Mix 100/100 Pixie Tag</t>
  </si>
  <si>
    <t>TAG Zinnia Preciosa Pink 100/100 Pixie Tag</t>
  </si>
  <si>
    <t>TAG Zinnia Preciosa Red 100/100 Pixie Tag</t>
  </si>
  <si>
    <t>TAG Zinnia Preciosa Rose 100/100 Pixie Tag</t>
  </si>
  <si>
    <t>TAG Zinnia Preciosa Scarlet 100/100 Pixie Tag</t>
  </si>
  <si>
    <t>TAG Zinnia Preciosa White 100/100 Pixie Tag</t>
  </si>
  <si>
    <t>TAG Zinnia Preciosa Yellow 100/100 Pixie Tag</t>
  </si>
  <si>
    <t>TAG Zinnia Preciosa Yellow Light 100/100 Pixie Tag</t>
  </si>
  <si>
    <t>TAG Zinnia Profusion 4 Color Mix 100/100 Pixie Tag</t>
  </si>
  <si>
    <t>TAG Zinnia Profusion 5 Color Mix 100/100 Pixie Tag</t>
  </si>
  <si>
    <t>TAG Zinnia Profusion All American Mix 100/100 Pixie Tag</t>
  </si>
  <si>
    <t>TAG Zinnia Profusion Apricot 100/100 Pixie Tag</t>
  </si>
  <si>
    <t>TAG Zinnia Profusion Cherry 100/100 Pixie Tag</t>
  </si>
  <si>
    <t>TAG Zinnia Profusion Cherry Bicolor 100/100 Pixie Tag</t>
  </si>
  <si>
    <t>TAG Zinnia Profusion Coral Pink 100/100 Pixie Tag</t>
  </si>
  <si>
    <t>TAG Zinnia Profusion Double Cherry 100/100 Pixie Tag</t>
  </si>
  <si>
    <t>TAG Zinnia Profusion Double Deep Salmon 100/100 Pixie Tag</t>
  </si>
  <si>
    <t>TAG Zinnia Profusion Double Fire 100/100 Pixie Tag</t>
  </si>
  <si>
    <t>TAG Zinnia Profusion Double Golden 100/100 Pixie Tag</t>
  </si>
  <si>
    <t>TAG Zinnia Profusion Double Hot Cherry 100/100 Pixie Tag</t>
  </si>
  <si>
    <t>TAG Zinnia Profusion Double Mix 100/100 Pixie Tag</t>
  </si>
  <si>
    <t>TAG Zinnia Profusion Double Red 100/100 Pixie Tag</t>
  </si>
  <si>
    <t>TAG Zinnia Profusion Double Series 100/100 Pixie Tag</t>
  </si>
  <si>
    <t>TAG Zinnia Profusion Double White 100/100 Pixie Tag</t>
  </si>
  <si>
    <t>TAG Zinnia Profusion Double Yellow 100/100 Pixie Tag</t>
  </si>
  <si>
    <t>TAG Zinnia Profusion Deep Apricot 100/100 Pixie Tag</t>
  </si>
  <si>
    <t>TAG Zinnia Profusion Fire 100/100 Pixie Tag</t>
  </si>
  <si>
    <t>TAG Zinnia Profusion Lemon 100/100 Pixie Tag</t>
  </si>
  <si>
    <t>TAG Zinnia Profusion Mix 100/100 Pixie Tag</t>
  </si>
  <si>
    <t>TAG Zinnia Profusion Orange 100/100 Pixie Tag</t>
  </si>
  <si>
    <t>TAG Zinnia Profusion Red 100/100 Pixie Tag</t>
  </si>
  <si>
    <t>TAG Zinnia Profusion Red Yellow Bicolor 100/100 Pixie Tag</t>
  </si>
  <si>
    <t>TAG Zinnia Profusion Sunrise Mix 100/100 Pixie Tag</t>
  </si>
  <si>
    <t>TAG Zinnia Profusion White 100/100 Pixie Tag</t>
  </si>
  <si>
    <t>TAG Zinnia Profusion Yellow 100/100 Pixie Tag</t>
  </si>
  <si>
    <t>TAG Zinnia Profusion 7 Color Mix 100/100 Pixie Tag</t>
  </si>
  <si>
    <t>TAG Zinnia Pulcino Mix 100/100 Pixie Tag</t>
  </si>
  <si>
    <t>TAG Zinnia Queen Lime 100/100 Pixie Tag</t>
  </si>
  <si>
    <t>TAG Zinnia Queen Red Lime 100/100 Pixie Tag</t>
  </si>
  <si>
    <t>TAG Zinnia Queeny Lemon Peach 100/100 Pixie Tag</t>
  </si>
  <si>
    <t>TAG Zinnia Queeny Lime Orange 100/100 Pixie Tag</t>
  </si>
  <si>
    <t>TAG Zinnia Short Stuff Cherry Shades 100/100 Pixie Tag SF</t>
  </si>
  <si>
    <t>TAG Zinnia Short Stuff Coral 100/100 Pixie Tag SF</t>
  </si>
  <si>
    <t>TAG Zinnia Short Stuff Deep Red 100/100 Pixie Tag SF</t>
  </si>
  <si>
    <t>TAG Zinnia Short Stuff Fire Mix 100/100 Pixie Tag SF</t>
  </si>
  <si>
    <t>TAG Zinnia Short Stuff Gold 100/100 Pixie Tag SF</t>
  </si>
  <si>
    <t>TAG Zinnia Short Stuff Mix 100/100 Pixie Tag SF</t>
  </si>
  <si>
    <t>TAG Zinnia Short Stuff Orange 100/100 Pixie Tag SF</t>
  </si>
  <si>
    <t>TAG Zinnia Short Stuff Scarlet 100/100 Pixie Tag SF</t>
  </si>
  <si>
    <t>TAG Zinnia Star Gold 100/100 Pixie Tag</t>
  </si>
  <si>
    <t>TAG Zinnia Star Orange 100/100 Pixie Tag</t>
  </si>
  <si>
    <t>TAG Zinnia Star White 100/100 Pixie Tag</t>
  </si>
  <si>
    <t>TAG Zinnia Starbright Mix 100/100 Pixie Tag</t>
  </si>
  <si>
    <t>TAG Zinnia State Fair Mix 100/100 Pixie Tag</t>
  </si>
  <si>
    <t>TAG Zinnia Swizzle Cherry And Ivory 100/100 Pixie Tag SF</t>
  </si>
  <si>
    <t>TAG Zinnia Swizzle Scarlet And Yellow 100/100 Pixie Tag SF</t>
  </si>
  <si>
    <t>TAG Zinnia Tall Coral Salmon GENERIC 100/100 Pixie Tag</t>
  </si>
  <si>
    <t>TAG Zinnia Tall GENERIC 100/100 Pixie Tag</t>
  </si>
  <si>
    <t>TAG Zinnia Tall Ivory White GENERIC 100/100 Pixie Tag</t>
  </si>
  <si>
    <t>TAG Zinnia Thumbelina Mix 100/100 Pixie Tag</t>
  </si>
  <si>
    <t>TAG Zinnia Uproar Rose 100/100 Pixie Tag SF</t>
  </si>
  <si>
    <t>TAG Zinnia Zahara Bonfire Mix 100/100 Pixie Tag</t>
  </si>
  <si>
    <t>TAG Zinnia Zahara Cherry 100/100 Pixie Tag</t>
  </si>
  <si>
    <t>TAG Zinnia Zahara Coral Rose 100/100 Pixie Tag</t>
  </si>
  <si>
    <t>TAG Zinnia Double Zahara Bright Orange 100/100 Pixie Tag</t>
  </si>
  <si>
    <t>TAG Zinnia Double Zahara Brilliant Mix 100/100 Pixie Tag</t>
  </si>
  <si>
    <t>TAG Zinnia Double Zahara Cherry 100/100 Pixie Tag</t>
  </si>
  <si>
    <t>TAG Zinnia Double Zahara Duo Mix 100/100 Pixie Tag</t>
  </si>
  <si>
    <t>TAG Zinnia Double Zahara Fire 100/100 Pixie Tag</t>
  </si>
  <si>
    <t>TAG Zinnia Double Zahara Mix 100/100 Pixie Tag</t>
  </si>
  <si>
    <t>TAG Zinnia Double Zahara Raspberry Ripple 100/100 Pixie Tag</t>
  </si>
  <si>
    <t>TAG Zinnia Double Zahara Salmon 100/100 Pixie Tag</t>
  </si>
  <si>
    <t>TAG Zinnia Double Zahara Salmon Rose 100/100 Pixie Tag</t>
  </si>
  <si>
    <t>TAG Zinnia Double Zahara White 100/100 Pixie Tag</t>
  </si>
  <si>
    <t>TAG Zinnia Double Zahara Yellow 100/100 Pixie Tag</t>
  </si>
  <si>
    <t>TAG Zinnia Zahara Fire 100/100 Pixie Tag</t>
  </si>
  <si>
    <t>TAG Zinnia Zahara XL Fire 100/100 Pixie Tag</t>
  </si>
  <si>
    <t>TAG Zinnia Zahara Mix 100/100 Pixie Tag</t>
  </si>
  <si>
    <t>TAG Zinnia Zahara Raspberry 100/100 Pixie Tag</t>
  </si>
  <si>
    <t>TAG Zinnia Zahara Raspberry Lemonade Mix 100/100 Pixie Tag</t>
  </si>
  <si>
    <t>TAG Zinnia Zahara Red 100/100 Pixie Tag</t>
  </si>
  <si>
    <t>TAG Zinnia Zahara Scarlet 100/100 Pixie Tag</t>
  </si>
  <si>
    <t>TAG Zinnia Zahara Starlight Rose 100/100 Pixie Tag</t>
  </si>
  <si>
    <t>TAG Zinnia Zahara Sunburst 100/100 Pixie Tag</t>
  </si>
  <si>
    <t>TAG Zinnia Zahara White 100/100 Pixie Tag</t>
  </si>
  <si>
    <t>TAG Zinnia Zahara Yellow 100/100 Pixie Tag</t>
  </si>
  <si>
    <t>TAG Zinnia Zahara XL Yellow 100/100 Pixie Tag</t>
  </si>
  <si>
    <t>TAG Zinnia Zany Rose Picotee 50/50 Petite Portrait DO FUL</t>
  </si>
  <si>
    <t>TAG Zinnia Zany Scarlet 50/50 Petite Portrait DO FUL</t>
  </si>
  <si>
    <t>TAG Zinnia Zesty Fuchsia 100/100 Pixie Tag</t>
  </si>
  <si>
    <t>TAG Zinnia Zesty Mix 100/100 Pixie Tag</t>
  </si>
  <si>
    <t>TAG Zinnia Zesty Orange 100/100 Pixie Tag</t>
  </si>
  <si>
    <t>TAG Zinnia Zesty Pink 100/100 Pixie Tag</t>
  </si>
  <si>
    <t>TAG Zinnia Zesty Purple 100/100 Pixie Tag</t>
  </si>
  <si>
    <t>TAG Zinnia Zesty Scarlet 100/100 Pixie Tag</t>
  </si>
  <si>
    <t>TAG Zinnia Zesty White 100/100 Pixie Tag</t>
  </si>
  <si>
    <t>TAG Zinnia Zesty Yellow 100/100 Pixie Tag</t>
  </si>
  <si>
    <t>TAG Zinnia Zinderella Lilac 100/100 Pixie Tag</t>
  </si>
  <si>
    <t>TAG Zinnia Zinderella Peach 100/100 Pixie Tag</t>
  </si>
  <si>
    <t>TAG Zinnia Zinderella Purple 100/100 Pixie Tag</t>
  </si>
  <si>
    <t>TAG Zinnia Zinderella Red 100/100 Pixie Tag</t>
  </si>
  <si>
    <t>TAG Zinnia Zinnita Mix 100/100 Pixie Tag</t>
  </si>
  <si>
    <t>TAG Zinnia Zowie Yellow Flame 100/100 Pixie Tag SF</t>
  </si>
  <si>
    <t>TAG Zinnia Zydeco Cherry 100/100 Pixie Tag SF</t>
  </si>
  <si>
    <t>TAG Zinnia Zydeco Deep Yellow 100/100 Pixie Tag SF</t>
  </si>
  <si>
    <t>TAG Zinnia Zydeco Fire 100/100 Pixie Tag SF</t>
  </si>
  <si>
    <t>TAG Zinnia Zydeco Mix 100/100 Pixie Tag SF</t>
  </si>
  <si>
    <t>TAG Zinnia Zydeco White 100/100 Pixie Tag SF</t>
  </si>
  <si>
    <t>West Rock Tag order Form</t>
  </si>
  <si>
    <t xml:space="preserve">Griffin P.O. # </t>
  </si>
  <si>
    <t>Customer account #:</t>
  </si>
  <si>
    <t>Requested Shipping Date:</t>
  </si>
  <si>
    <t>Sold To:</t>
  </si>
  <si>
    <t>Phone:</t>
  </si>
  <si>
    <t>Ship To:</t>
  </si>
  <si>
    <t>Total Tags:</t>
  </si>
  <si>
    <t>Product Number</t>
  </si>
  <si>
    <t>Description</t>
  </si>
  <si>
    <t>Quantity</t>
  </si>
  <si>
    <t>Westrock number</t>
  </si>
  <si>
    <t>TAG Arabis Little Treasure Deep Rose 100/100 Pixie Tag</t>
  </si>
  <si>
    <t>TAG Argyranthemum Sassy Compact White Limited Availability 50/50 Petite Tag</t>
  </si>
  <si>
    <t>TAG Assorted DO Fulfillment 100/100 Pixie Tag DO FUL</t>
  </si>
  <si>
    <t>TAG Assorted DO Fulfillment 50/50 Petite Portrait DO FUL</t>
  </si>
  <si>
    <t>TAG Assorted Selecta Fulfillment 50/50 Petite Portrait SEL F FUL</t>
  </si>
  <si>
    <t>TAG Assorted SF Fulfillment 50/50 Petite Portrait SF FUL</t>
  </si>
  <si>
    <t>TAG Assorted SF Fulfillment 50/50 Pixie Tag SF FUL</t>
  </si>
  <si>
    <t>TAG Bacopa Bahia Lavender Blue 50/50 Petite Tag</t>
  </si>
  <si>
    <t>TAG Begonia Rise Up Over Easy 100/100 Pixie Tag</t>
  </si>
  <si>
    <t>TAG Begonia Solenia Dark Orange 100/100 Pixie Tag</t>
  </si>
  <si>
    <t>TAG Begonia Waterfalls Encanto Orangeß 100/100 Pixie Tag</t>
  </si>
  <si>
    <t>TAG Bracteantha Cottage Orange CR4921 50/50 Petite Tag</t>
  </si>
  <si>
    <t>TAG Calibrachoa Aloha Fire 12 50/50 Petite Tag</t>
  </si>
  <si>
    <t>TAG Calibrachoa Cabrio Pink 50/50 Petite Tag</t>
  </si>
  <si>
    <t>TAG Calibrachoa Calitastic Aubergn Star 50/50 Petite Tag</t>
  </si>
  <si>
    <t>TAG Calibrachoa Calitastic Dark Violet 50/50 Petite Tag</t>
  </si>
  <si>
    <t>TAG Calibrachoa Calitastic Golden Sun 50/50 Petite Tag</t>
  </si>
  <si>
    <t>TAG Calibrachoa Calitastic Papaya 50/50 Petite Tag</t>
  </si>
  <si>
    <t>TAG Calibrachoa Calitastic Pumpkin Spice 50/50 Petite Tag</t>
  </si>
  <si>
    <t>TAG Calibrachoa Calitastic Violet Skies 50/50 Petite Tag</t>
  </si>
  <si>
    <t>TAG Calibrachoa Lindura Cosmos Neon 50/50 Petite Tag</t>
  </si>
  <si>
    <t>TAG Calibrachoa Lindura Cosmos Strawberry 50/50 Petite Tag</t>
  </si>
  <si>
    <t>TAG Calibrachoa Lindura Dark Blue 50/50 Petite Tag</t>
  </si>
  <si>
    <t>TAG Calibrachoa Lindura Light Blue 50/50 Petite Tag</t>
  </si>
  <si>
    <t>TAG Calibrachoa Lindura Neon 50/50 Petite Tag</t>
  </si>
  <si>
    <t>TAG Calibrachoa Lindura Pink 50/50 Petite Tag</t>
  </si>
  <si>
    <t>TAG Calibrachoa Lindura Purple 50/50 Petite Tag</t>
  </si>
  <si>
    <t>TAG Calibrachoa Lindura Red 50/50 Petite Tag</t>
  </si>
  <si>
    <t>TAG Calibrachoa Lindura White 50/50 Petite Tag</t>
  </si>
  <si>
    <t>TAG Calibrachoa Lindura Yellow 50/50 Petite Tag</t>
  </si>
  <si>
    <t>TAG Calla Lily Amethyst 50/50 Petite Tag</t>
  </si>
  <si>
    <t>TAG Calla Lily Black Diamond 50/50 Petite Tag</t>
  </si>
  <si>
    <t>TAG Calla Lily Captain Memphis 50/50 Petite Tag</t>
  </si>
  <si>
    <t>TAG Calla Lily Le Chique 50/50 Petite Tag</t>
  </si>
  <si>
    <t>TAG Chrysanthemum Angela White 50/50 Pixie Tag SF FUL</t>
  </si>
  <si>
    <t>TAG Chrysanthemum Chelsey Pink Limited Availability 50/50 Petite Tag</t>
  </si>
  <si>
    <t>TAG Chrysanthemum Ditto Lemon 50/50 Petite Tag</t>
  </si>
  <si>
    <t>TAG Chrysanthemum Gabbie Purple 50/50 Pixie Tag SF FUL</t>
  </si>
  <si>
    <t>TAG Chrysanthemum Jennie Yellow 50/50 Pixie Tag SF FUL</t>
  </si>
  <si>
    <t>TAG Chrysanthemum Jolly Cheryl Red Limited Availability 50/50 Petite Tag</t>
  </si>
  <si>
    <t>TAG Chrysanthemum Valerie Fuchsia 50/50 Pixie Tag SF FUL</t>
  </si>
  <si>
    <t>TAG Coleus Hipsters Jasper 100/100 Pixie Tag</t>
  </si>
  <si>
    <t>TAG Coleus Stained Glassworks Palisade CR5030 50/50 Petite Tag</t>
  </si>
  <si>
    <t>TAG Coleus Terra Nova Jigsaw 100/100 Pixie Tag</t>
  </si>
  <si>
    <t>TAG Confetti Garden Aloha Kona Color Clash 50/50 Petite Tag</t>
  </si>
  <si>
    <t>TAG Confetti Garden Aloha Kona Hawaiian Kona Flamingo 50/50 Petite Tag</t>
  </si>
  <si>
    <t>TAG Confetti Garden Aloha Kona Hawaiian Volcano Kea 50/50 Petite Tag</t>
  </si>
  <si>
    <t>TAG Confetti Garden Bella Waterrose 50/50 Petite Tag</t>
  </si>
  <si>
    <t>TAG Confetti Garden Chrysanthemum Eventide Capricorn 50/50 Petite Tag</t>
  </si>
  <si>
    <t>TAG Confetti Garden Chrysanthemum Eventide Gemini 50/50 Petite Tag</t>
  </si>
  <si>
    <t>TAG Confetti Garden Chrysanthemum Eventide Scorpio 50/50 Petite Tag</t>
  </si>
  <si>
    <t>TAG Confetti Garden Chrysanthemum Eventide Taurus 50/50 Petite Tag</t>
  </si>
  <si>
    <t>TAG Confetti Garden Cupcake Cupcake Party 50/50 Petite Tag</t>
  </si>
  <si>
    <t>TAG Confetti Garden Tone On Tone Sunshine 2018 50/50 Petite Tag</t>
  </si>
  <si>
    <t>TAG Confetti Garden Trio Mix Shocking Sunset 50/50 Petite Tag</t>
  </si>
  <si>
    <t>TAG Coreopsis Baby Sun 100/100 Pixie Tag</t>
  </si>
  <si>
    <t>TAG Dahlia Grandalia Burgundy 50/50 Petite Tag</t>
  </si>
  <si>
    <t>TAG Dahlia Grandalia Dark Pink Dahlia 50/50 Petite Tag</t>
  </si>
  <si>
    <t>TAG Dahlia Grandalia Rose 50/50 Petite Tag</t>
  </si>
  <si>
    <t>TAG Dahlia Midalio Yellow 50/50 Petite Tag</t>
  </si>
  <si>
    <t>TAG Delosperma Rock Crystal Neon Red 50/50 Petite Tag</t>
  </si>
  <si>
    <t>TAG Delosperma Rock Crystal Orange 50/50 Petite Tag</t>
  </si>
  <si>
    <t>TAG Delosperma Rock Crystal Purple 50/50 Petite Tag</t>
  </si>
  <si>
    <t>TAG Delosperma Solstice Pink 50/50 Petite Tag</t>
  </si>
  <si>
    <t>TAG Delosperma Solstice Red 50/50 Petite Tag</t>
  </si>
  <si>
    <t>TAG Dianthus Delilah Bicolor Purple 25/25 Portrait Tag</t>
  </si>
  <si>
    <t>TAG Dianthus Delilah Magenta 25/25 Portrait Tag</t>
  </si>
  <si>
    <t>TAG Dipladenia Madinia Deep Red Mandevilla 50/50 Petite Tag</t>
  </si>
  <si>
    <t>TAG Dipladenia Madinia Max Light Pink Mandevilla 50/50 Petite Tag</t>
  </si>
  <si>
    <t>TAG Dipladenia Madinia Pink Mandevilla 50/50 Petite Tag</t>
  </si>
  <si>
    <t>TAG Dipladenia Madinia White 50/50 Petite Tag</t>
  </si>
  <si>
    <t>TAG Erodium Bishop's Form 50/50 Petite Tag</t>
  </si>
  <si>
    <t>TAG Eucomis Aloha Lily Kona Pineapple 50/50 Petite Tag</t>
  </si>
  <si>
    <t>TAG Gaillardia SpinTop Orange Halo 50/50 Petite Tag</t>
  </si>
  <si>
    <t>TAG Geranium Americana Salmon Limited Availability 50/50 Petite Tag</t>
  </si>
  <si>
    <t>TAG Geranium Calliope Medium Light Lavender 50/50 Petite Tag</t>
  </si>
  <si>
    <t>TAG Geranium Classic Red Limited Availability 50/50 Petite Tag</t>
  </si>
  <si>
    <t>TAG Geranium Contessa Burgundy Bicolor 50/50 Petite Tag</t>
  </si>
  <si>
    <t>TAG Geranium Contessa Dark Red 50/50 Petite Tag</t>
  </si>
  <si>
    <t>TAG Geranium Contessa Double Lilac 50/50 Petite Tag</t>
  </si>
  <si>
    <t>TAG Geranium Contessa Hot Pink 50/50 Petite Tag</t>
  </si>
  <si>
    <t>TAG Geranium Contessa Lavender 50/50 Petite Tag</t>
  </si>
  <si>
    <t>TAG Geranium Contessa Pink 50/50 Petite Tag</t>
  </si>
  <si>
    <t>TAG Geranium Contessa Purple 50/50 Petite Tag</t>
  </si>
  <si>
    <t>TAG Geranium Contessa White 50/50 Petite Tag</t>
  </si>
  <si>
    <t>TAG Geranium Fidelity Dark Red 50/50 Petite Tag</t>
  </si>
  <si>
    <t>TAG Geranium Freestyle Arctic Red 50/50 Petite Tag</t>
  </si>
  <si>
    <t>TAG Geranium Freestyle Cherry Rose 50/50 Petite Tag</t>
  </si>
  <si>
    <t>TAG Geranium Freestyle Orchid 50/50 Petite Tag</t>
  </si>
  <si>
    <t>TAG Geranium Moxie Deep Rose 50/50 Petite Tag</t>
  </si>
  <si>
    <t>TAG Geranium Rocky Mountain Royal Red 50/50 Petite Tag</t>
  </si>
  <si>
    <t>TAG Geranium Survivor Cherry Red Geran 50/50 Petite Tag</t>
  </si>
  <si>
    <t>TAG Geranium Temprano Bright Red 50/50 Petite Tag</t>
  </si>
  <si>
    <t>TAG Geranium Temprano Dark Red 50/50 Petite Tag</t>
  </si>
  <si>
    <t>TAG Geranium Temprano Hot Coral 50/50 Petite Tag</t>
  </si>
  <si>
    <t>TAG Geranium Temprano Lavender 50/50 Petite Tag</t>
  </si>
  <si>
    <t>TAG Geranium Temprano Orange 50/50 Petite Tag</t>
  </si>
  <si>
    <t>TAG Geranium Temprano Pink 50/50 Petite Tag</t>
  </si>
  <si>
    <t>TAG Geranium Temprano Salmon Improved 50/50 Petite Tag</t>
  </si>
  <si>
    <t>TAG Geranium Temprano White 50/50 Petite Tag</t>
  </si>
  <si>
    <t xml:space="preserve">TAG Hang N Tags 100/100 Tag </t>
  </si>
  <si>
    <t>TAG Hedera Needlepoint CN5196 100/100 Pixie Tag</t>
  </si>
  <si>
    <t>TAG Heliotrope Nagano 50/50 Petite Tag</t>
  </si>
  <si>
    <t>TAG Impatiens Harmony Red 100/100 Pixie Tag</t>
  </si>
  <si>
    <t>TAG Impatiens Imara XDR Orange Limited Availability 50/50 Petite Tag</t>
  </si>
  <si>
    <t>TAG Impatiens Imara XDR Orange Star Limited Availability 50/50 Petite Tag</t>
  </si>
  <si>
    <t>TAG Impatiens Imara XDR Rose Limited Availability 50/50 Petite Tag</t>
  </si>
  <si>
    <t>TAG Impatiens Imara XDR Violet Limited Availability 50/50 Petite Tag</t>
  </si>
  <si>
    <t>TAG Impatiens Imara XDR White Limited Availability 50/50 Petite Tag</t>
  </si>
  <si>
    <t>TAG Impatiens Paradise Rose Flare 50/50 Petite Tag</t>
  </si>
  <si>
    <t>TAG Impatiens Petticoat Pink Night 50/50 Petite Tag</t>
  </si>
  <si>
    <t>TAG Impatiens Petticoat Soft Pink 50/50 Petite Tag</t>
  </si>
  <si>
    <t>TAG Impatiens Roller Coaster Cotton Candy 50/50 Petite Portrait DO FUL</t>
  </si>
  <si>
    <t>TAG Impatiens Roller Coaster Hot Pink 50/50 Petite Portrait DO FUL</t>
  </si>
  <si>
    <t>TAG Impatiens Roller Coaster Orange Ya Shakin' 50/50 Petite Portrait DO FUL</t>
  </si>
  <si>
    <t>TAG Impatiens Roller Coaster Red Racer 50/50 Petite Portrait DO FUL</t>
  </si>
  <si>
    <t>TAG Impatiens Roller Coaster Tangy Taffy 50/50 Petite Portrait DO FUL</t>
  </si>
  <si>
    <t>TAG Impatiens Roller Coaster Valravn Violet 50/50 Petite Portrait DO FUL</t>
  </si>
  <si>
    <t>TAG Impatiens Roller Coaster White Lightning 50/50 Petite Portrait DO FUL</t>
  </si>
  <si>
    <t>TAG Impatiens Super Sonic Dark Red Limited Availability 50/50 Petite Tag</t>
  </si>
  <si>
    <t>TAG Impatiens Sweetie Pie Cherry 50/50 Petite Tag</t>
  </si>
  <si>
    <t>TAG Impatiens Sweetie Pie Lavender 50/50 Petite Tag</t>
  </si>
  <si>
    <t>TAG Impatiens Tamarinda Max Neon Flame 50/50 Petite Tag</t>
  </si>
  <si>
    <t>TAG Impatiens Tamarinda Orange 09 50/50 Petite Tag</t>
  </si>
  <si>
    <t>TAG Impatiens Tamarinda Pink 50/50 Petite Tag</t>
  </si>
  <si>
    <t>TAG Impatiens Tamarinda Purple Bicolor 50/50 Petite Tag</t>
  </si>
  <si>
    <t>TAG Indoor Plant Bright Light 100/100 Large Nursery Tag With String</t>
  </si>
  <si>
    <t>TAG Indoor Plant Bright Light 25/25 Portrait Tag</t>
  </si>
  <si>
    <t>TAG Indoor Plant Low Light 100/100 Large Nursery Tag With String</t>
  </si>
  <si>
    <t>TAG Indoor Plant Low Light 25/25 Portrait Tag</t>
  </si>
  <si>
    <t>TAG Indoor Plant Medium Light 100/100 Large Nursery Tag With String</t>
  </si>
  <si>
    <t>TAG Indoor Plant Medium Light 25/25 Portrait Tag</t>
  </si>
  <si>
    <t>TAG Lamium Beacon Silver Maculatum 100/100 Pixie Tag</t>
  </si>
  <si>
    <t>TAG Lamium Pink Pewter Maculatum 100/100 Pixie Tag</t>
  </si>
  <si>
    <t>TAG Lamium White Nancy Maculatum 100/100 Pixie Tag</t>
  </si>
  <si>
    <t>TAG Lantana Bandana Yellow 50/50 Petite Tag</t>
  </si>
  <si>
    <t>TAG Lantana Bandana Yellow Limited Availability 50/50 Petite Tag</t>
  </si>
  <si>
    <t>TAG Lantana Heartland Pink 50/50 Petite Tag</t>
  </si>
  <si>
    <t>TAG Leek GENERIC 100/100 Pixie Tag</t>
  </si>
  <si>
    <t>TAG Lysimachia Goldii Nummularia 100/100 Pixie Tag</t>
  </si>
  <si>
    <t>TAG Mandevilla Madinia Max Red 50/50 Petite Tag</t>
  </si>
  <si>
    <t>TAG Marigold Garuda Deep Gold 100/100 Pixie Tag</t>
  </si>
  <si>
    <t>TAG Marjoram Sweet CN5274 100/100 Pixie Tag</t>
  </si>
  <si>
    <t>TAG Mini Portrait 50/50 Tag</t>
  </si>
  <si>
    <t>TAG Mint Apple CN5260 100/100 Pixie Tag</t>
  </si>
  <si>
    <t>TAG Mint Chocolate CN5262 100/100 Pixie Tag</t>
  </si>
  <si>
    <t>TAG Mint Orange CN5263 100/100 Pixie Tag</t>
  </si>
  <si>
    <t>TAG Mint Peppermint CN5264 100/100 Pixie Tag</t>
  </si>
  <si>
    <t>TAG Osteospermum Margarita Lemon 50/50 Petite Tag</t>
  </si>
  <si>
    <t>TAG Osteospermum Margarita Sunset 50/50 Petite Tag</t>
  </si>
  <si>
    <t>TAG Pachystachys Green Carpet Limited Availability 50/50 Petite Tag</t>
  </si>
  <si>
    <t>TAG Pansy Delta Light Blue With Blotch 100/100 Pixie Tag</t>
  </si>
  <si>
    <t>TAG Pansy Majestic Giants II Mix 100/100 Pixie Tag</t>
  </si>
  <si>
    <t>TAG Pansy Majestic Giants II White With Blotch 100/100 Pixie Tag</t>
  </si>
  <si>
    <t>TAG Petunia Bravo White 100/100 Pixie Tag</t>
  </si>
  <si>
    <t>TAG Petunia Crazytunia Pinkadelic 50/50 Petite Tag</t>
  </si>
  <si>
    <t>TAG Petunia Crazytunia Plumtastic 50/50 Petite Tag</t>
  </si>
  <si>
    <t>TAG Petunia Crazytunia Purple Picotee 50/50 Petite Tag</t>
  </si>
  <si>
    <t>TAG Petunia Dekko Dark Lavender 50/50 Petite Tag</t>
  </si>
  <si>
    <t>TAG Petunia Double Wave Blue 50/50 Petite Tag</t>
  </si>
  <si>
    <t>TAG Petunia Double Wave Pink 50/50 Petite Tag</t>
  </si>
  <si>
    <t>TAG Petunia Double Wave Purple 50/50 Petite Tag</t>
  </si>
  <si>
    <t>TAG Petunia Double Wave Red 50/50 Petite Tag</t>
  </si>
  <si>
    <t>TAG Petunia Double Wave White 50/50 Petite Tag</t>
  </si>
  <si>
    <t>TAG Petunia Potunia Piccola Purple Ice 50/50 Petite Tag</t>
  </si>
  <si>
    <t>TAG Petunia Sanguna Blue Limited Availability 50/50 Petite Tag</t>
  </si>
  <si>
    <t>TAG Petunia Sanguna Patio Light Blue Limited Availability 50/50 Petite Tag</t>
  </si>
  <si>
    <t>TAG Petunia Sanguna White Pearl 50/50 Petite Tag</t>
  </si>
  <si>
    <t>TAG Petunia Sanguna White Vein 50/50 Petite Tag</t>
  </si>
  <si>
    <t>TAG Petunia Surprise Purple 50/50 Petite Tag</t>
  </si>
  <si>
    <t>TAG Petunia Sweetunia Velveteen 50/50 Petite Tag</t>
  </si>
  <si>
    <t>TAG Phlox Chattahoochee 100/100 Pixie Tag</t>
  </si>
  <si>
    <t>TAG Phlox Early Purple Pink Eye Limited Availability 50/50 Petite Tag</t>
  </si>
  <si>
    <t>TAG Rosemary Arp Limited Availability 50/50 Petite Tag</t>
  </si>
  <si>
    <t>TAG Saintpaulia Maxi Britt 50/50 Petite Tag</t>
  </si>
  <si>
    <t>TAG Sedum Autumn Joy Spectabile 100/100 Pixie Tag</t>
  </si>
  <si>
    <t>TAG Sedum Stonecrop Limited Availability 50/50 Petite Tag</t>
  </si>
  <si>
    <t>TAG Sedum Tricolor 100/100 Pixie Tag</t>
  </si>
  <si>
    <t>TAG Sedum Tricolor Spurium 100/100 Pixie Tag</t>
  </si>
  <si>
    <t>TAG Streptocarpus Concord Blue 25/25 Portrait Tag</t>
  </si>
  <si>
    <t>TAG Streptocarpus Streptocarpella GENERIC 100/100 Hang Tag</t>
  </si>
  <si>
    <t>TAG Tag Pixie 100/100 Pixie Tag</t>
  </si>
  <si>
    <t>TAG Tag Portrait 25/25 Tag</t>
  </si>
  <si>
    <t>TAG Thunbergia TowerPower Gold 50/50 Petite Tag</t>
  </si>
  <si>
    <t>TAG Thunbergia TowerPower Red 50/50 Petite Tag</t>
  </si>
  <si>
    <t>TAG Thyme Red Creeping 100/100 Pixie Tag</t>
  </si>
  <si>
    <t>TAG Thyme Woolly Pseudolanuginosus 25/25 Portrait Tag</t>
  </si>
  <si>
    <t>TAG Tradescantia Pink Panther 50/50 Petite Tag</t>
  </si>
  <si>
    <t>TAG Tradescantia Sanna 50/50 Petite Tag</t>
  </si>
  <si>
    <t>TAG Tradescantia Zebrina 50/50 Petite Tag</t>
  </si>
  <si>
    <t>TAG Verbena Homestead Purple CE0804 50/50 Petite Tag</t>
  </si>
  <si>
    <t>TAG Vinca Minor Ralph Shugert 100/100 Pixie Tag</t>
  </si>
  <si>
    <t>TAG Chrysanthemum Angela White 100/100 Pixie Tag SF</t>
  </si>
  <si>
    <t>TAG Chrysanthemum Gabbie Purple 100/100 Pixie Tag SF</t>
  </si>
  <si>
    <t>TAG Chrysanthemum Jennie Yellow 100/100 Pixie Tag SF</t>
  </si>
  <si>
    <t>TAG Chrysanthemum Valerie Fuchsia 100/100 Pixie Tag 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</si>
</sst>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b/>
      <sz val="1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122928</xdr:rowOff>
    </xdr:from>
    <xdr:to>
      <xdr:col>2</xdr:col>
      <xdr:colOff>655320</xdr:colOff>
      <xdr:row>4</xdr:row>
      <xdr:rowOff>17144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FF26FD-FFD9-41A4-A8DB-D7A1898A8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2928"/>
          <a:ext cx="2798445" cy="656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36766-8C88-4D86-8C0A-352D20B7B9A3}">
  <dimension ref="A1:F13982"/>
  <sheetViews>
    <sheetView tabSelected="1" workbookViewId="0">
      <selection activeCell="B18" sqref="B18"/>
    </sheetView>
  </sheetViews>
  <sheetFormatPr defaultRowHeight="15" x14ac:dyDescent="0.25"/>
  <cols>
    <col min="1" max="1" width="14.140625" bestFit="1" customWidth="1"/>
    <col min="2" max="2" width="18" customWidth="1"/>
    <col min="3" max="3" width="79.7109375" customWidth="1"/>
    <col min="4" max="4" width="8.7109375" bestFit="1" customWidth="1"/>
  </cols>
  <sheetData>
    <row r="1" spans="1:4" s="1" customFormat="1" x14ac:dyDescent="0.25"/>
    <row r="2" spans="1:4" s="1" customFormat="1" x14ac:dyDescent="0.25"/>
    <row r="3" spans="1:4" s="1" customFormat="1" x14ac:dyDescent="0.25"/>
    <row r="4" spans="1:4" s="1" customFormat="1" x14ac:dyDescent="0.25"/>
    <row r="5" spans="1:4" s="1" customFormat="1" ht="46.9" customHeight="1" x14ac:dyDescent="0.3">
      <c r="A5" s="9" t="s">
        <v>13755</v>
      </c>
      <c r="B5" s="9"/>
      <c r="C5" s="9"/>
      <c r="D5" s="9"/>
    </row>
    <row r="6" spans="1:4" s="1" customFormat="1" x14ac:dyDescent="0.25">
      <c r="A6" s="2" t="s">
        <v>13756</v>
      </c>
      <c r="B6" s="2"/>
      <c r="C6" s="2"/>
      <c r="D6" s="2"/>
    </row>
    <row r="7" spans="1:4" s="1" customFormat="1" x14ac:dyDescent="0.25">
      <c r="A7" s="7" t="s">
        <v>13757</v>
      </c>
      <c r="B7" s="8"/>
      <c r="C7" s="8"/>
      <c r="D7" s="8"/>
    </row>
    <row r="8" spans="1:4" s="1" customFormat="1" x14ac:dyDescent="0.25">
      <c r="A8" s="10" t="s">
        <v>13758</v>
      </c>
      <c r="B8" s="11"/>
      <c r="C8" s="11"/>
      <c r="D8" s="11"/>
    </row>
    <row r="9" spans="1:4" s="1" customFormat="1" x14ac:dyDescent="0.25">
      <c r="A9" s="7" t="s">
        <v>13759</v>
      </c>
      <c r="B9" s="8"/>
      <c r="C9" s="8"/>
      <c r="D9" s="8"/>
    </row>
    <row r="10" spans="1:4" s="1" customFormat="1" x14ac:dyDescent="0.25">
      <c r="A10" s="7"/>
      <c r="B10" s="8"/>
      <c r="C10" s="8"/>
      <c r="D10" s="8"/>
    </row>
    <row r="11" spans="1:4" s="1" customFormat="1" x14ac:dyDescent="0.25">
      <c r="A11" s="7"/>
      <c r="B11" s="8"/>
      <c r="C11" s="8"/>
      <c r="D11" s="8"/>
    </row>
    <row r="12" spans="1:4" s="1" customFormat="1" x14ac:dyDescent="0.25">
      <c r="A12" s="7" t="s">
        <v>13760</v>
      </c>
      <c r="B12" s="8"/>
      <c r="C12" s="8"/>
      <c r="D12" s="8"/>
    </row>
    <row r="13" spans="1:4" s="1" customFormat="1" x14ac:dyDescent="0.25">
      <c r="A13" s="10" t="s">
        <v>13761</v>
      </c>
      <c r="B13" s="11"/>
      <c r="C13" s="11"/>
      <c r="D13" s="11"/>
    </row>
    <row r="14" spans="1:4" s="1" customFormat="1" x14ac:dyDescent="0.25">
      <c r="A14" s="10"/>
      <c r="B14" s="11"/>
      <c r="C14" s="11"/>
      <c r="D14" s="11"/>
    </row>
    <row r="15" spans="1:4" s="1" customFormat="1" x14ac:dyDescent="0.25">
      <c r="A15" s="10"/>
      <c r="B15" s="11"/>
      <c r="C15" s="11"/>
      <c r="D15" s="11"/>
    </row>
    <row r="16" spans="1:4" s="1" customFormat="1" x14ac:dyDescent="0.25">
      <c r="A16" s="10" t="s">
        <v>13760</v>
      </c>
      <c r="B16" s="11"/>
      <c r="C16" s="11"/>
      <c r="D16" s="11"/>
    </row>
    <row r="17" spans="1:6" s="1" customFormat="1" x14ac:dyDescent="0.25">
      <c r="A17" s="3"/>
      <c r="B17" s="4"/>
      <c r="C17" s="4"/>
      <c r="D17" s="4"/>
    </row>
    <row r="18" spans="1:6" s="1" customFormat="1" x14ac:dyDescent="0.25">
      <c r="A18" s="3" t="s">
        <v>13762</v>
      </c>
      <c r="B18" s="4">
        <f>SUM(D21:D13982)</f>
        <v>0</v>
      </c>
      <c r="C18" s="4"/>
      <c r="D18" s="4"/>
    </row>
    <row r="19" spans="1:6" s="1" customFormat="1" x14ac:dyDescent="0.25">
      <c r="A19" s="3"/>
      <c r="B19" s="4"/>
      <c r="C19" s="4"/>
      <c r="D19" s="4"/>
    </row>
    <row r="20" spans="1:6" s="1" customFormat="1" ht="30" x14ac:dyDescent="0.25">
      <c r="A20" s="5" t="s">
        <v>13763</v>
      </c>
      <c r="B20" s="5" t="s">
        <v>13766</v>
      </c>
      <c r="C20" s="5" t="s">
        <v>13764</v>
      </c>
      <c r="D20" s="5" t="s">
        <v>13765</v>
      </c>
      <c r="E20" s="6"/>
      <c r="F20" s="6"/>
    </row>
    <row r="21" spans="1:6" x14ac:dyDescent="0.25">
      <c r="A21" t="str">
        <f>"0611830445100"</f>
        <v>0611830445100</v>
      </c>
      <c r="B21" t="str">
        <f>"LG0011"</f>
        <v>LG0011</v>
      </c>
      <c r="C21" t="s">
        <v>0</v>
      </c>
    </row>
    <row r="22" spans="1:6" x14ac:dyDescent="0.25">
      <c r="A22" t="str">
        <f>"0611830446100"</f>
        <v>0611830446100</v>
      </c>
      <c r="B22" t="str">
        <f>"LK1833"</f>
        <v>LK1833</v>
      </c>
      <c r="C22" t="s">
        <v>1</v>
      </c>
    </row>
    <row r="23" spans="1:6" x14ac:dyDescent="0.25">
      <c r="A23" t="str">
        <f>"0611830447100"</f>
        <v>0611830447100</v>
      </c>
      <c r="B23" t="str">
        <f>"LF0240"</f>
        <v>LF0240</v>
      </c>
      <c r="C23" t="s">
        <v>2</v>
      </c>
    </row>
    <row r="24" spans="1:6" x14ac:dyDescent="0.25">
      <c r="A24" t="str">
        <f>"0611830448100"</f>
        <v>0611830448100</v>
      </c>
      <c r="B24" t="str">
        <f>"LK2508"</f>
        <v>LK2508</v>
      </c>
      <c r="C24" t="s">
        <v>3</v>
      </c>
    </row>
    <row r="25" spans="1:6" x14ac:dyDescent="0.25">
      <c r="A25" t="str">
        <f>"0611860398050"</f>
        <v>0611860398050</v>
      </c>
      <c r="B25" t="str">
        <f>"CR3308"</f>
        <v>CR3308</v>
      </c>
      <c r="C25" t="s">
        <v>4</v>
      </c>
    </row>
    <row r="26" spans="1:6" x14ac:dyDescent="0.25">
      <c r="A26" t="str">
        <f>"0611830449025"</f>
        <v>0611830449025</v>
      </c>
      <c r="B26" t="str">
        <f>"MC3093"</f>
        <v>MC3093</v>
      </c>
      <c r="C26" t="s">
        <v>5</v>
      </c>
    </row>
    <row r="27" spans="1:6" x14ac:dyDescent="0.25">
      <c r="A27" t="str">
        <f>"0611830450100"</f>
        <v>0611830450100</v>
      </c>
      <c r="B27" t="str">
        <f>"MB0250"</f>
        <v>MB0250</v>
      </c>
      <c r="C27" t="s">
        <v>7</v>
      </c>
    </row>
    <row r="28" spans="1:6" x14ac:dyDescent="0.25">
      <c r="A28" t="str">
        <f>"0611830451100"</f>
        <v>0611830451100</v>
      </c>
      <c r="B28" t="str">
        <f>"LG0100"</f>
        <v>LG0100</v>
      </c>
      <c r="C28" t="s">
        <v>8</v>
      </c>
    </row>
    <row r="29" spans="1:6" x14ac:dyDescent="0.25">
      <c r="A29" t="str">
        <f>"0611830452100"</f>
        <v>0611830452100</v>
      </c>
      <c r="B29" t="str">
        <f>"LB0195"</f>
        <v>LB0195</v>
      </c>
      <c r="C29" t="s">
        <v>9</v>
      </c>
    </row>
    <row r="30" spans="1:6" x14ac:dyDescent="0.25">
      <c r="A30" t="str">
        <f>"0611860399050"</f>
        <v>0611860399050</v>
      </c>
      <c r="B30" t="str">
        <f>"CR3196"</f>
        <v>CR3196</v>
      </c>
      <c r="C30" t="s">
        <v>6</v>
      </c>
    </row>
    <row r="31" spans="1:6" x14ac:dyDescent="0.25">
      <c r="A31" t="str">
        <f>"0611830454025"</f>
        <v>0611830454025</v>
      </c>
      <c r="B31" t="str">
        <f>"MC0825"</f>
        <v>MC0825</v>
      </c>
      <c r="C31" t="s">
        <v>10</v>
      </c>
    </row>
    <row r="32" spans="1:6" x14ac:dyDescent="0.25">
      <c r="A32" t="str">
        <f>"0611830455025"</f>
        <v>0611830455025</v>
      </c>
      <c r="B32" t="str">
        <f>"MC0971"</f>
        <v>MC0971</v>
      </c>
      <c r="C32" t="s">
        <v>11</v>
      </c>
    </row>
    <row r="33" spans="1:3" x14ac:dyDescent="0.25">
      <c r="A33" t="str">
        <f>"0611830456100"</f>
        <v>0611830456100</v>
      </c>
      <c r="B33" t="str">
        <f>"LH0343"</f>
        <v>LH0343</v>
      </c>
      <c r="C33" t="s">
        <v>12</v>
      </c>
    </row>
    <row r="34" spans="1:3" x14ac:dyDescent="0.25">
      <c r="A34" t="str">
        <f>"0611830457025"</f>
        <v>0611830457025</v>
      </c>
      <c r="B34" t="str">
        <f>"MC0001"</f>
        <v>MC0001</v>
      </c>
      <c r="C34" t="s">
        <v>13</v>
      </c>
    </row>
    <row r="35" spans="1:3" x14ac:dyDescent="0.25">
      <c r="A35" t="str">
        <f>"0611830458025"</f>
        <v>0611830458025</v>
      </c>
      <c r="B35" t="str">
        <f>"MQ3096"</f>
        <v>MQ3096</v>
      </c>
      <c r="C35" t="s">
        <v>14</v>
      </c>
    </row>
    <row r="36" spans="1:3" x14ac:dyDescent="0.25">
      <c r="A36" t="str">
        <f>"0611860402050"</f>
        <v>0611860402050</v>
      </c>
      <c r="B36" t="str">
        <f>"CE0949"</f>
        <v>CE0949</v>
      </c>
      <c r="C36" t="s">
        <v>15</v>
      </c>
    </row>
    <row r="37" spans="1:3" x14ac:dyDescent="0.25">
      <c r="A37" t="str">
        <f>"0611830459025"</f>
        <v>0611830459025</v>
      </c>
      <c r="B37" t="str">
        <f>"MQ3097"</f>
        <v>MQ3097</v>
      </c>
      <c r="C37" t="s">
        <v>16</v>
      </c>
    </row>
    <row r="38" spans="1:3" x14ac:dyDescent="0.25">
      <c r="A38" t="str">
        <f>"0611860403050"</f>
        <v>0611860403050</v>
      </c>
      <c r="B38" t="str">
        <f>"CE0951"</f>
        <v>CE0951</v>
      </c>
      <c r="C38" t="s">
        <v>17</v>
      </c>
    </row>
    <row r="39" spans="1:3" x14ac:dyDescent="0.25">
      <c r="A39" t="str">
        <f>"0611830460025"</f>
        <v>0611830460025</v>
      </c>
      <c r="B39" t="str">
        <f>"MQ3098"</f>
        <v>MQ3098</v>
      </c>
      <c r="C39" t="s">
        <v>18</v>
      </c>
    </row>
    <row r="40" spans="1:3" x14ac:dyDescent="0.25">
      <c r="A40" t="str">
        <f>"0611860404050"</f>
        <v>0611860404050</v>
      </c>
      <c r="B40" t="str">
        <f>"CE0952"</f>
        <v>CE0952</v>
      </c>
      <c r="C40" t="s">
        <v>19</v>
      </c>
    </row>
    <row r="41" spans="1:3" x14ac:dyDescent="0.25">
      <c r="A41" t="str">
        <f>"0611830461025"</f>
        <v>0611830461025</v>
      </c>
      <c r="B41" t="str">
        <f>"MQ3099"</f>
        <v>MQ3099</v>
      </c>
      <c r="C41" t="s">
        <v>20</v>
      </c>
    </row>
    <row r="42" spans="1:3" x14ac:dyDescent="0.25">
      <c r="A42" t="str">
        <f>"0611860405050"</f>
        <v>0611860405050</v>
      </c>
      <c r="B42" t="str">
        <f>"CE0953"</f>
        <v>CE0953</v>
      </c>
      <c r="C42" t="s">
        <v>21</v>
      </c>
    </row>
    <row r="43" spans="1:3" x14ac:dyDescent="0.25">
      <c r="A43" t="str">
        <f>"0611830462025"</f>
        <v>0611830462025</v>
      </c>
      <c r="B43" t="str">
        <f>"MC3332"</f>
        <v>MC3332</v>
      </c>
      <c r="C43" t="s">
        <v>22</v>
      </c>
    </row>
    <row r="44" spans="1:3" x14ac:dyDescent="0.25">
      <c r="A44" t="str">
        <f>"0611860406050"</f>
        <v>0611860406050</v>
      </c>
      <c r="B44" t="str">
        <f>"CR4150"</f>
        <v>CR4150</v>
      </c>
      <c r="C44" t="s">
        <v>23</v>
      </c>
    </row>
    <row r="45" spans="1:3" x14ac:dyDescent="0.25">
      <c r="A45" t="str">
        <f>"0611906620025"</f>
        <v>0611906620025</v>
      </c>
      <c r="B45" t="str">
        <f>"MQ7010"</f>
        <v>MQ7010</v>
      </c>
      <c r="C45" t="s">
        <v>24</v>
      </c>
    </row>
    <row r="46" spans="1:3" x14ac:dyDescent="0.25">
      <c r="A46" t="str">
        <f>"0611830463025"</f>
        <v>0611830463025</v>
      </c>
      <c r="B46" t="str">
        <f>"MC4399"</f>
        <v>MC4399</v>
      </c>
      <c r="C46" t="s">
        <v>25</v>
      </c>
    </row>
    <row r="47" spans="1:3" x14ac:dyDescent="0.25">
      <c r="A47" t="str">
        <f>"0611830464025"</f>
        <v>0611830464025</v>
      </c>
      <c r="B47" t="str">
        <f>"MQ7246"</f>
        <v>MQ7246</v>
      </c>
      <c r="C47" t="s">
        <v>26</v>
      </c>
    </row>
    <row r="48" spans="1:3" x14ac:dyDescent="0.25">
      <c r="A48" t="str">
        <f>"0611830465025"</f>
        <v>0611830465025</v>
      </c>
      <c r="B48" t="str">
        <f>"MQ7247"</f>
        <v>MQ7247</v>
      </c>
      <c r="C48" t="s">
        <v>27</v>
      </c>
    </row>
    <row r="49" spans="1:3" x14ac:dyDescent="0.25">
      <c r="A49" t="str">
        <f>"0611830466025"</f>
        <v>0611830466025</v>
      </c>
      <c r="B49" t="str">
        <f>"MQ0634"</f>
        <v>MQ0634</v>
      </c>
      <c r="C49" t="s">
        <v>28</v>
      </c>
    </row>
    <row r="50" spans="1:3" x14ac:dyDescent="0.25">
      <c r="A50" t="str">
        <f>"0611856806025"</f>
        <v>0611856806025</v>
      </c>
      <c r="B50" t="str">
        <f>"MQ0813"</f>
        <v>MQ0813</v>
      </c>
      <c r="C50" t="s">
        <v>29</v>
      </c>
    </row>
    <row r="51" spans="1:3" x14ac:dyDescent="0.25">
      <c r="A51" t="str">
        <f>"0611830467025"</f>
        <v>0611830467025</v>
      </c>
      <c r="B51" t="str">
        <f>"MQ3109"</f>
        <v>MQ3109</v>
      </c>
      <c r="C51" t="s">
        <v>30</v>
      </c>
    </row>
    <row r="52" spans="1:3" x14ac:dyDescent="0.25">
      <c r="A52" t="str">
        <f>"0611830468025"</f>
        <v>0611830468025</v>
      </c>
      <c r="B52" t="str">
        <f>"MC0002"</f>
        <v>MC0002</v>
      </c>
      <c r="C52" t="s">
        <v>31</v>
      </c>
    </row>
    <row r="53" spans="1:3" x14ac:dyDescent="0.25">
      <c r="A53" t="str">
        <f>"0611860407050"</f>
        <v>0611860407050</v>
      </c>
      <c r="B53" t="str">
        <f>"CR4144"</f>
        <v>CR4144</v>
      </c>
      <c r="C53" t="s">
        <v>32</v>
      </c>
    </row>
    <row r="54" spans="1:3" x14ac:dyDescent="0.25">
      <c r="A54" t="str">
        <f>"0611830482025"</f>
        <v>0611830482025</v>
      </c>
      <c r="B54" t="str">
        <f>"MQ3110"</f>
        <v>MQ3110</v>
      </c>
      <c r="C54" t="s">
        <v>33</v>
      </c>
    </row>
    <row r="55" spans="1:3" x14ac:dyDescent="0.25">
      <c r="A55" t="str">
        <f>"0611860408050"</f>
        <v>0611860408050</v>
      </c>
      <c r="B55" t="str">
        <f>"CR4145"</f>
        <v>CR4145</v>
      </c>
      <c r="C55" t="s">
        <v>34</v>
      </c>
    </row>
    <row r="56" spans="1:3" x14ac:dyDescent="0.25">
      <c r="A56" t="str">
        <f>"0611830483025"</f>
        <v>0611830483025</v>
      </c>
      <c r="B56" t="str">
        <f>"MQ3111"</f>
        <v>MQ3111</v>
      </c>
      <c r="C56" t="s">
        <v>35</v>
      </c>
    </row>
    <row r="57" spans="1:3" x14ac:dyDescent="0.25">
      <c r="A57" t="str">
        <f>"0611906621025"</f>
        <v>0611906621025</v>
      </c>
      <c r="B57" t="str">
        <f>"MQ7565"</f>
        <v>MQ7565</v>
      </c>
      <c r="C57" t="s">
        <v>36</v>
      </c>
    </row>
    <row r="58" spans="1:3" x14ac:dyDescent="0.25">
      <c r="A58" t="str">
        <f>"0611830484025"</f>
        <v>0611830484025</v>
      </c>
      <c r="B58" t="str">
        <f>"MQ3112"</f>
        <v>MQ3112</v>
      </c>
      <c r="C58" t="s">
        <v>37</v>
      </c>
    </row>
    <row r="59" spans="1:3" x14ac:dyDescent="0.25">
      <c r="A59" t="str">
        <f>"0611860409050"</f>
        <v>0611860409050</v>
      </c>
      <c r="B59" t="str">
        <f>"CR4146"</f>
        <v>CR4146</v>
      </c>
      <c r="C59" t="s">
        <v>38</v>
      </c>
    </row>
    <row r="60" spans="1:3" x14ac:dyDescent="0.25">
      <c r="A60" t="str">
        <f>"0611830485025"</f>
        <v>0611830485025</v>
      </c>
      <c r="B60" t="str">
        <f>"MQ3113"</f>
        <v>MQ3113</v>
      </c>
      <c r="C60" t="s">
        <v>39</v>
      </c>
    </row>
    <row r="61" spans="1:3" x14ac:dyDescent="0.25">
      <c r="A61" t="str">
        <f>"0611830470025"</f>
        <v>0611830470025</v>
      </c>
      <c r="B61" t="str">
        <f>"MC0003"</f>
        <v>MC0003</v>
      </c>
      <c r="C61" t="s">
        <v>40</v>
      </c>
    </row>
    <row r="62" spans="1:3" x14ac:dyDescent="0.25">
      <c r="A62" t="str">
        <f>"0611860411050"</f>
        <v>0611860411050</v>
      </c>
      <c r="B62" t="str">
        <f>"CR4147"</f>
        <v>CR4147</v>
      </c>
      <c r="C62" t="s">
        <v>41</v>
      </c>
    </row>
    <row r="63" spans="1:3" x14ac:dyDescent="0.25">
      <c r="A63" t="str">
        <f>"0611906622025"</f>
        <v>0611906622025</v>
      </c>
      <c r="B63" t="str">
        <f>"MQ7013"</f>
        <v>MQ7013</v>
      </c>
      <c r="C63" t="s">
        <v>42</v>
      </c>
    </row>
    <row r="64" spans="1:3" x14ac:dyDescent="0.25">
      <c r="A64" t="str">
        <f>"0611906623025"</f>
        <v>0611906623025</v>
      </c>
      <c r="B64" t="str">
        <f>"MQ7014"</f>
        <v>MQ7014</v>
      </c>
      <c r="C64" t="s">
        <v>43</v>
      </c>
    </row>
    <row r="65" spans="1:3" x14ac:dyDescent="0.25">
      <c r="A65" t="str">
        <f>"0611906624025"</f>
        <v>0611906624025</v>
      </c>
      <c r="B65" t="str">
        <f>"MQ7015"</f>
        <v>MQ7015</v>
      </c>
      <c r="C65" t="s">
        <v>44</v>
      </c>
    </row>
    <row r="66" spans="1:3" x14ac:dyDescent="0.25">
      <c r="A66" t="str">
        <f>"0611860412100"</f>
        <v>0611860412100</v>
      </c>
      <c r="B66" t="str">
        <f>"CN2301"</f>
        <v>CN2301</v>
      </c>
      <c r="C66" t="s">
        <v>45</v>
      </c>
    </row>
    <row r="67" spans="1:3" x14ac:dyDescent="0.25">
      <c r="A67" t="str">
        <f>"0611860413100"</f>
        <v>0611860413100</v>
      </c>
      <c r="B67" t="str">
        <f>"CN2302"</f>
        <v>CN2302</v>
      </c>
      <c r="C67" t="s">
        <v>46</v>
      </c>
    </row>
    <row r="68" spans="1:3" x14ac:dyDescent="0.25">
      <c r="A68" t="str">
        <f>"0611860414100"</f>
        <v>0611860414100</v>
      </c>
      <c r="B68" t="str">
        <f>"CN2336"</f>
        <v>CN2336</v>
      </c>
      <c r="C68" t="s">
        <v>47</v>
      </c>
    </row>
    <row r="69" spans="1:3" x14ac:dyDescent="0.25">
      <c r="A69" t="str">
        <f>"0611830476025"</f>
        <v>0611830476025</v>
      </c>
      <c r="B69" t="str">
        <f>"MC4079"</f>
        <v>MC4079</v>
      </c>
      <c r="C69" t="s">
        <v>48</v>
      </c>
    </row>
    <row r="70" spans="1:3" x14ac:dyDescent="0.25">
      <c r="A70" t="str">
        <f>"0611830477025"</f>
        <v>0611830477025</v>
      </c>
      <c r="B70" t="str">
        <f>"MC4362"</f>
        <v>MC4362</v>
      </c>
      <c r="C70" t="s">
        <v>49</v>
      </c>
    </row>
    <row r="71" spans="1:3" x14ac:dyDescent="0.25">
      <c r="A71" t="str">
        <f>"0611830478100"</f>
        <v>0611830478100</v>
      </c>
      <c r="B71" t="str">
        <f>"LH0370"</f>
        <v>LH0370</v>
      </c>
      <c r="C71" t="s">
        <v>50</v>
      </c>
    </row>
    <row r="72" spans="1:3" x14ac:dyDescent="0.25">
      <c r="A72" t="str">
        <f>"0611830479025"</f>
        <v>0611830479025</v>
      </c>
      <c r="B72" t="str">
        <f>"MC0007"</f>
        <v>MC0007</v>
      </c>
      <c r="C72" t="s">
        <v>51</v>
      </c>
    </row>
    <row r="73" spans="1:3" x14ac:dyDescent="0.25">
      <c r="A73" t="str">
        <f>"0611830480025"</f>
        <v>0611830480025</v>
      </c>
      <c r="B73" t="str">
        <f>"MQ0682"</f>
        <v>MQ0682</v>
      </c>
      <c r="C73" t="s">
        <v>52</v>
      </c>
    </row>
    <row r="74" spans="1:3" x14ac:dyDescent="0.25">
      <c r="A74" t="str">
        <f>"0611856807025"</f>
        <v>0611856807025</v>
      </c>
      <c r="B74" t="str">
        <f>"MQ0749"</f>
        <v>MQ0749</v>
      </c>
      <c r="C74" t="s">
        <v>53</v>
      </c>
    </row>
    <row r="75" spans="1:3" x14ac:dyDescent="0.25">
      <c r="A75" t="str">
        <f>"0611860415100"</f>
        <v>0611860415100</v>
      </c>
      <c r="B75" t="str">
        <f>"CN5002"</f>
        <v>CN5002</v>
      </c>
      <c r="C75" t="s">
        <v>54</v>
      </c>
    </row>
    <row r="76" spans="1:3" x14ac:dyDescent="0.25">
      <c r="A76" t="str">
        <f>"0611830481025"</f>
        <v>0611830481025</v>
      </c>
      <c r="B76" t="str">
        <f>"MC0826"</f>
        <v>MC0826</v>
      </c>
      <c r="C76" t="s">
        <v>55</v>
      </c>
    </row>
    <row r="77" spans="1:3" x14ac:dyDescent="0.25">
      <c r="A77" t="str">
        <f>"0611860416050"</f>
        <v>0611860416050</v>
      </c>
      <c r="B77" t="str">
        <f>"CR4149"</f>
        <v>CR4149</v>
      </c>
      <c r="C77" t="s">
        <v>56</v>
      </c>
    </row>
    <row r="78" spans="1:3" x14ac:dyDescent="0.25">
      <c r="A78" t="str">
        <f>"0611906625025"</f>
        <v>0611906625025</v>
      </c>
      <c r="B78" t="str">
        <f>"MQ7016"</f>
        <v>MQ7016</v>
      </c>
      <c r="C78" t="s">
        <v>57</v>
      </c>
    </row>
    <row r="79" spans="1:3" x14ac:dyDescent="0.25">
      <c r="A79" t="str">
        <f>"0611906626025"</f>
        <v>0611906626025</v>
      </c>
      <c r="B79" t="str">
        <f>"MQ7017"</f>
        <v>MQ7017</v>
      </c>
      <c r="C79" t="s">
        <v>58</v>
      </c>
    </row>
    <row r="80" spans="1:3" x14ac:dyDescent="0.25">
      <c r="A80" t="str">
        <f>"0611906627025"</f>
        <v>0611906627025</v>
      </c>
      <c r="B80" t="str">
        <f>"MQ7018"</f>
        <v>MQ7018</v>
      </c>
      <c r="C80" t="s">
        <v>59</v>
      </c>
    </row>
    <row r="81" spans="1:3" x14ac:dyDescent="0.25">
      <c r="A81" t="str">
        <f>"0611830486025"</f>
        <v>0611830486025</v>
      </c>
      <c r="B81" t="str">
        <f>"MC3668"</f>
        <v>MC3668</v>
      </c>
      <c r="C81" t="s">
        <v>60</v>
      </c>
    </row>
    <row r="82" spans="1:3" x14ac:dyDescent="0.25">
      <c r="A82" t="str">
        <f>"0611830487025"</f>
        <v>0611830487025</v>
      </c>
      <c r="B82" t="str">
        <f>"MC0980"</f>
        <v>MC0980</v>
      </c>
      <c r="C82" t="s">
        <v>61</v>
      </c>
    </row>
    <row r="83" spans="1:3" x14ac:dyDescent="0.25">
      <c r="A83" t="str">
        <f>"0611830489025"</f>
        <v>0611830489025</v>
      </c>
      <c r="B83" t="str">
        <f>"MC0828"</f>
        <v>MC0828</v>
      </c>
      <c r="C83" t="s">
        <v>62</v>
      </c>
    </row>
    <row r="84" spans="1:3" x14ac:dyDescent="0.25">
      <c r="A84" t="str">
        <f>"0611830490025"</f>
        <v>0611830490025</v>
      </c>
      <c r="B84" t="str">
        <f>"MC1901"</f>
        <v>MC1901</v>
      </c>
      <c r="C84" t="s">
        <v>63</v>
      </c>
    </row>
    <row r="85" spans="1:3" x14ac:dyDescent="0.25">
      <c r="A85" t="str">
        <f>"0611860417100"</f>
        <v>0611860417100</v>
      </c>
      <c r="B85" t="str">
        <f>"CN2000"</f>
        <v>CN2000</v>
      </c>
      <c r="C85" t="s">
        <v>64</v>
      </c>
    </row>
    <row r="86" spans="1:3" x14ac:dyDescent="0.25">
      <c r="A86" t="str">
        <f>"0611860418100"</f>
        <v>0611860418100</v>
      </c>
      <c r="B86" t="str">
        <f>"CN2001"</f>
        <v>CN2001</v>
      </c>
      <c r="C86" t="s">
        <v>65</v>
      </c>
    </row>
    <row r="87" spans="1:3" x14ac:dyDescent="0.25">
      <c r="A87" t="str">
        <f>"0611860419100"</f>
        <v>0611860419100</v>
      </c>
      <c r="B87" t="str">
        <f>"CN2002"</f>
        <v>CN2002</v>
      </c>
      <c r="C87" t="s">
        <v>66</v>
      </c>
    </row>
    <row r="88" spans="1:3" x14ac:dyDescent="0.25">
      <c r="A88" t="str">
        <f>"0611830491100"</f>
        <v>0611830491100</v>
      </c>
      <c r="B88" t="str">
        <f>"LH0450"</f>
        <v>LH0450</v>
      </c>
      <c r="C88" t="s">
        <v>67</v>
      </c>
    </row>
    <row r="89" spans="1:3" x14ac:dyDescent="0.25">
      <c r="A89" t="str">
        <f>"0611830492025"</f>
        <v>0611830492025</v>
      </c>
      <c r="B89" t="str">
        <f>"MC0012"</f>
        <v>MC0012</v>
      </c>
      <c r="C89" t="s">
        <v>68</v>
      </c>
    </row>
    <row r="90" spans="1:3" x14ac:dyDescent="0.25">
      <c r="A90" t="str">
        <f>"0611860420100"</f>
        <v>0611860420100</v>
      </c>
      <c r="B90" t="str">
        <f>"CN2003"</f>
        <v>CN2003</v>
      </c>
      <c r="C90" t="s">
        <v>69</v>
      </c>
    </row>
    <row r="91" spans="1:3" x14ac:dyDescent="0.25">
      <c r="A91" t="str">
        <f>"0611830493100"</f>
        <v>0611830493100</v>
      </c>
      <c r="B91" t="str">
        <f>"LG1003"</f>
        <v>LG1003</v>
      </c>
      <c r="C91" t="s">
        <v>70</v>
      </c>
    </row>
    <row r="92" spans="1:3" x14ac:dyDescent="0.25">
      <c r="A92" t="str">
        <f>"0611830494100"</f>
        <v>0611830494100</v>
      </c>
      <c r="B92" t="str">
        <f>"LG8030"</f>
        <v>LG8030</v>
      </c>
      <c r="C92" t="s">
        <v>71</v>
      </c>
    </row>
    <row r="93" spans="1:3" x14ac:dyDescent="0.25">
      <c r="A93" t="str">
        <f>"0611860421100"</f>
        <v>0611860421100</v>
      </c>
      <c r="B93" t="str">
        <f>"CN2004"</f>
        <v>CN2004</v>
      </c>
      <c r="C93" t="s">
        <v>72</v>
      </c>
    </row>
    <row r="94" spans="1:3" x14ac:dyDescent="0.25">
      <c r="A94" t="str">
        <f>"0611860422100"</f>
        <v>0611860422100</v>
      </c>
      <c r="B94" t="str">
        <f>"CN2005"</f>
        <v>CN2005</v>
      </c>
      <c r="C94" t="s">
        <v>73</v>
      </c>
    </row>
    <row r="95" spans="1:3" x14ac:dyDescent="0.25">
      <c r="A95" t="str">
        <f>"0611860423100"</f>
        <v>0611860423100</v>
      </c>
      <c r="B95" t="str">
        <f>"CN2006"</f>
        <v>CN2006</v>
      </c>
      <c r="C95" t="s">
        <v>74</v>
      </c>
    </row>
    <row r="96" spans="1:3" x14ac:dyDescent="0.25">
      <c r="A96" t="str">
        <f>"0611830495100"</f>
        <v>0611830495100</v>
      </c>
      <c r="B96" t="str">
        <f>"LF0006"</f>
        <v>LF0006</v>
      </c>
      <c r="C96" t="s">
        <v>75</v>
      </c>
    </row>
    <row r="97" spans="1:3" x14ac:dyDescent="0.25">
      <c r="A97" t="str">
        <f>"0611830498025"</f>
        <v>0611830498025</v>
      </c>
      <c r="B97" t="str">
        <f>"MC4091"</f>
        <v>MC4091</v>
      </c>
      <c r="C97" t="s">
        <v>76</v>
      </c>
    </row>
    <row r="98" spans="1:3" x14ac:dyDescent="0.25">
      <c r="A98" t="str">
        <f>"0611830499100"</f>
        <v>0611830499100</v>
      </c>
      <c r="B98" t="str">
        <f>"LC5105"</f>
        <v>LC5105</v>
      </c>
      <c r="C98" t="s">
        <v>77</v>
      </c>
    </row>
    <row r="99" spans="1:3" x14ac:dyDescent="0.25">
      <c r="A99" t="str">
        <f>"0611830500025"</f>
        <v>0611830500025</v>
      </c>
      <c r="B99" t="str">
        <f>"MC3669"</f>
        <v>MC3669</v>
      </c>
      <c r="C99" t="s">
        <v>78</v>
      </c>
    </row>
    <row r="100" spans="1:3" x14ac:dyDescent="0.25">
      <c r="A100" t="str">
        <f>"0611830501025"</f>
        <v>0611830501025</v>
      </c>
      <c r="B100" t="str">
        <f>"MC3991"</f>
        <v>MC3991</v>
      </c>
      <c r="C100" t="s">
        <v>79</v>
      </c>
    </row>
    <row r="101" spans="1:3" x14ac:dyDescent="0.25">
      <c r="A101" t="str">
        <f>"0611830502100"</f>
        <v>0611830502100</v>
      </c>
      <c r="B101" t="str">
        <f>"LH8878"</f>
        <v>LH8878</v>
      </c>
      <c r="C101" t="s">
        <v>80</v>
      </c>
    </row>
    <row r="102" spans="1:3" x14ac:dyDescent="0.25">
      <c r="A102" t="str">
        <f>"0611830503025"</f>
        <v>0611830503025</v>
      </c>
      <c r="B102" t="str">
        <f>"MC3992"</f>
        <v>MC3992</v>
      </c>
      <c r="C102" t="s">
        <v>81</v>
      </c>
    </row>
    <row r="103" spans="1:3" x14ac:dyDescent="0.25">
      <c r="A103" t="str">
        <f>"0611830504025"</f>
        <v>0611830504025</v>
      </c>
      <c r="B103" t="str">
        <f>"MC3993"</f>
        <v>MC3993</v>
      </c>
      <c r="C103" t="s">
        <v>82</v>
      </c>
    </row>
    <row r="104" spans="1:3" x14ac:dyDescent="0.25">
      <c r="A104" t="str">
        <f>"0611860424100"</f>
        <v>0611860424100</v>
      </c>
      <c r="B104" t="str">
        <f>"CN2340"</f>
        <v>CN2340</v>
      </c>
      <c r="C104" t="s">
        <v>83</v>
      </c>
    </row>
    <row r="105" spans="1:3" x14ac:dyDescent="0.25">
      <c r="A105" t="str">
        <f>"0611860425100"</f>
        <v>0611860425100</v>
      </c>
      <c r="B105" t="str">
        <f>"CN2337"</f>
        <v>CN2337</v>
      </c>
      <c r="C105" t="s">
        <v>84</v>
      </c>
    </row>
    <row r="106" spans="1:3" x14ac:dyDescent="0.25">
      <c r="A106" t="str">
        <f>"0611860426100"</f>
        <v>0611860426100</v>
      </c>
      <c r="B106" t="str">
        <f>"CN2338"</f>
        <v>CN2338</v>
      </c>
      <c r="C106" t="s">
        <v>85</v>
      </c>
    </row>
    <row r="107" spans="1:3" x14ac:dyDescent="0.25">
      <c r="A107" t="str">
        <f>"0611893304100"</f>
        <v>0611893304100</v>
      </c>
      <c r="B107" t="str">
        <f>"CN5463"</f>
        <v>CN5463</v>
      </c>
      <c r="C107" t="s">
        <v>86</v>
      </c>
    </row>
    <row r="108" spans="1:3" x14ac:dyDescent="0.25">
      <c r="A108" t="str">
        <f>"0611893305100"</f>
        <v>0611893305100</v>
      </c>
      <c r="B108" t="str">
        <f>"CN5464"</f>
        <v>CN5464</v>
      </c>
      <c r="C108" t="s">
        <v>87</v>
      </c>
    </row>
    <row r="109" spans="1:3" x14ac:dyDescent="0.25">
      <c r="A109" t="str">
        <f>"0611893306100"</f>
        <v>0611893306100</v>
      </c>
      <c r="B109" t="str">
        <f>"CN5447"</f>
        <v>CN5447</v>
      </c>
      <c r="C109" t="s">
        <v>88</v>
      </c>
    </row>
    <row r="110" spans="1:3" x14ac:dyDescent="0.25">
      <c r="A110" t="str">
        <f>"0611860428100"</f>
        <v>0611860428100</v>
      </c>
      <c r="B110" t="str">
        <f>"CN5004"</f>
        <v>CN5004</v>
      </c>
      <c r="C110" t="s">
        <v>89</v>
      </c>
    </row>
    <row r="111" spans="1:3" x14ac:dyDescent="0.25">
      <c r="A111" t="str">
        <f>"0611830505025"</f>
        <v>0611830505025</v>
      </c>
      <c r="B111" t="str">
        <f>"MC2624"</f>
        <v>MC2624</v>
      </c>
      <c r="C111" t="s">
        <v>90</v>
      </c>
    </row>
    <row r="112" spans="1:3" x14ac:dyDescent="0.25">
      <c r="A112" t="str">
        <f>"0611860429050"</f>
        <v>0611860429050</v>
      </c>
      <c r="B112" t="str">
        <f>"CR4152"</f>
        <v>CR4152</v>
      </c>
      <c r="C112" t="s">
        <v>91</v>
      </c>
    </row>
    <row r="113" spans="1:3" x14ac:dyDescent="0.25">
      <c r="A113" t="str">
        <f>"0611856808025"</f>
        <v>0611856808025</v>
      </c>
      <c r="B113" t="str">
        <f>"MQ0750"</f>
        <v>MQ0750</v>
      </c>
      <c r="C113" t="s">
        <v>92</v>
      </c>
    </row>
    <row r="114" spans="1:3" x14ac:dyDescent="0.25">
      <c r="A114" t="str">
        <f>"0611830506025"</f>
        <v>0611830506025</v>
      </c>
      <c r="B114" t="str">
        <f>"MQ0145"</f>
        <v>MQ0145</v>
      </c>
      <c r="C114" t="s">
        <v>93</v>
      </c>
    </row>
    <row r="115" spans="1:3" x14ac:dyDescent="0.25">
      <c r="A115" t="str">
        <f>"0611860430100"</f>
        <v>0611860430100</v>
      </c>
      <c r="B115" t="str">
        <f>"CN5003"</f>
        <v>CN5003</v>
      </c>
      <c r="C115" t="s">
        <v>94</v>
      </c>
    </row>
    <row r="116" spans="1:3" x14ac:dyDescent="0.25">
      <c r="A116" t="str">
        <f>"0611830507025"</f>
        <v>0611830507025</v>
      </c>
      <c r="B116" t="str">
        <f>"MC1504"</f>
        <v>MC1504</v>
      </c>
      <c r="C116" t="s">
        <v>95</v>
      </c>
    </row>
    <row r="117" spans="1:3" x14ac:dyDescent="0.25">
      <c r="A117" t="str">
        <f>"0611860431050"</f>
        <v>0611860431050</v>
      </c>
      <c r="B117" t="str">
        <f>"CR4151"</f>
        <v>CR4151</v>
      </c>
      <c r="C117" t="s">
        <v>96</v>
      </c>
    </row>
    <row r="118" spans="1:3" x14ac:dyDescent="0.25">
      <c r="A118" t="str">
        <f>"0611906628025"</f>
        <v>0611906628025</v>
      </c>
      <c r="B118" t="str">
        <f>"MQ7572"</f>
        <v>MQ7572</v>
      </c>
      <c r="C118" t="s">
        <v>97</v>
      </c>
    </row>
    <row r="119" spans="1:3" x14ac:dyDescent="0.25">
      <c r="A119" t="str">
        <f>"0611830509100"</f>
        <v>0611830509100</v>
      </c>
      <c r="B119" t="str">
        <f>"LH0200"</f>
        <v>LH0200</v>
      </c>
      <c r="C119" t="s">
        <v>98</v>
      </c>
    </row>
    <row r="120" spans="1:3" x14ac:dyDescent="0.25">
      <c r="A120" t="str">
        <f>"0611883987025"</f>
        <v>0611883987025</v>
      </c>
      <c r="B120" t="str">
        <f>"MQ0817"</f>
        <v>MQ0817</v>
      </c>
      <c r="C120" t="s">
        <v>99</v>
      </c>
    </row>
    <row r="121" spans="1:3" x14ac:dyDescent="0.25">
      <c r="A121" t="str">
        <f>"0611893307100"</f>
        <v>0611893307100</v>
      </c>
      <c r="B121" t="str">
        <f>"CN5448"</f>
        <v>CN5448</v>
      </c>
      <c r="C121" t="s">
        <v>100</v>
      </c>
    </row>
    <row r="122" spans="1:3" x14ac:dyDescent="0.25">
      <c r="A122" t="str">
        <f>"0611893308100"</f>
        <v>0611893308100</v>
      </c>
      <c r="B122" t="str">
        <f>"CN5455"</f>
        <v>CN5455</v>
      </c>
      <c r="C122" t="s">
        <v>101</v>
      </c>
    </row>
    <row r="123" spans="1:3" x14ac:dyDescent="0.25">
      <c r="A123" t="str">
        <f>"0611893309100"</f>
        <v>0611893309100</v>
      </c>
      <c r="B123" t="str">
        <f>"CN5456"</f>
        <v>CN5456</v>
      </c>
      <c r="C123" t="s">
        <v>102</v>
      </c>
    </row>
    <row r="124" spans="1:3" x14ac:dyDescent="0.25">
      <c r="A124" t="str">
        <f>"0611830511025"</f>
        <v>0611830511025</v>
      </c>
      <c r="B124" t="str">
        <f>"MC4341"</f>
        <v>MC4341</v>
      </c>
      <c r="C124" t="s">
        <v>103</v>
      </c>
    </row>
    <row r="125" spans="1:3" x14ac:dyDescent="0.25">
      <c r="A125" t="str">
        <f>"0611830512025"</f>
        <v>0611830512025</v>
      </c>
      <c r="B125" t="str">
        <f>"MQ0146"</f>
        <v>MQ0146</v>
      </c>
      <c r="C125" t="s">
        <v>104</v>
      </c>
    </row>
    <row r="126" spans="1:3" x14ac:dyDescent="0.25">
      <c r="A126" t="str">
        <f>"0611830513025"</f>
        <v>0611830513025</v>
      </c>
      <c r="B126" t="str">
        <f>"MQ0147"</f>
        <v>MQ0147</v>
      </c>
      <c r="C126" t="s">
        <v>105</v>
      </c>
    </row>
    <row r="127" spans="1:3" x14ac:dyDescent="0.25">
      <c r="A127" t="str">
        <f>"0611830514025"</f>
        <v>0611830514025</v>
      </c>
      <c r="B127" t="str">
        <f>"MQ0148"</f>
        <v>MQ0148</v>
      </c>
      <c r="C127" t="s">
        <v>106</v>
      </c>
    </row>
    <row r="128" spans="1:3" x14ac:dyDescent="0.25">
      <c r="A128" t="str">
        <f>"0611830515025"</f>
        <v>0611830515025</v>
      </c>
      <c r="B128" t="str">
        <f>"MQ0149"</f>
        <v>MQ0149</v>
      </c>
      <c r="C128" t="s">
        <v>107</v>
      </c>
    </row>
    <row r="129" spans="1:3" x14ac:dyDescent="0.25">
      <c r="A129" t="str">
        <f>"0611830516025"</f>
        <v>0611830516025</v>
      </c>
      <c r="B129" t="str">
        <f>"MQ0404"</f>
        <v>MQ0404</v>
      </c>
      <c r="C129" t="s">
        <v>108</v>
      </c>
    </row>
    <row r="130" spans="1:3" x14ac:dyDescent="0.25">
      <c r="A130" t="str">
        <f>"0611860432050"</f>
        <v>0611860432050</v>
      </c>
      <c r="B130" t="str">
        <f>"CR3919"</f>
        <v>CR3919</v>
      </c>
      <c r="C130" t="s">
        <v>109</v>
      </c>
    </row>
    <row r="131" spans="1:3" x14ac:dyDescent="0.25">
      <c r="A131" t="str">
        <f>"0611830517025"</f>
        <v>0611830517025</v>
      </c>
      <c r="B131" t="str">
        <f>"MQ0150"</f>
        <v>MQ0150</v>
      </c>
      <c r="C131" t="s">
        <v>110</v>
      </c>
    </row>
    <row r="132" spans="1:3" x14ac:dyDescent="0.25">
      <c r="A132" t="str">
        <f>"0611830518025"</f>
        <v>0611830518025</v>
      </c>
      <c r="B132" t="str">
        <f>"MQ0151"</f>
        <v>MQ0151</v>
      </c>
      <c r="C132" t="s">
        <v>111</v>
      </c>
    </row>
    <row r="133" spans="1:3" x14ac:dyDescent="0.25">
      <c r="A133" t="str">
        <f>"0611830519025"</f>
        <v>0611830519025</v>
      </c>
      <c r="B133" t="str">
        <f>"MQ3116"</f>
        <v>MQ3116</v>
      </c>
      <c r="C133" t="s">
        <v>112</v>
      </c>
    </row>
    <row r="134" spans="1:3" x14ac:dyDescent="0.25">
      <c r="A134" t="str">
        <f>"0611830520025"</f>
        <v>0611830520025</v>
      </c>
      <c r="B134" t="str">
        <f>"MQ5156"</f>
        <v>MQ5156</v>
      </c>
      <c r="C134" t="s">
        <v>113</v>
      </c>
    </row>
    <row r="135" spans="1:3" x14ac:dyDescent="0.25">
      <c r="A135" t="str">
        <f>"0611860434050"</f>
        <v>0611860434050</v>
      </c>
      <c r="B135" t="str">
        <f>"CR3920"</f>
        <v>CR3920</v>
      </c>
      <c r="C135" t="s">
        <v>114</v>
      </c>
    </row>
    <row r="136" spans="1:3" x14ac:dyDescent="0.25">
      <c r="A136" t="str">
        <f>"0611883988025"</f>
        <v>0611883988025</v>
      </c>
      <c r="B136" t="str">
        <f>"MQ0818"</f>
        <v>MQ0818</v>
      </c>
      <c r="C136" t="s">
        <v>115</v>
      </c>
    </row>
    <row r="137" spans="1:3" x14ac:dyDescent="0.25">
      <c r="A137" t="str">
        <f>"0611906629025"</f>
        <v>0611906629025</v>
      </c>
      <c r="B137" t="str">
        <f>"MQ7566"</f>
        <v>MQ7566</v>
      </c>
      <c r="C137" t="s">
        <v>116</v>
      </c>
    </row>
    <row r="138" spans="1:3" x14ac:dyDescent="0.25">
      <c r="A138" t="str">
        <f>"0611830521025"</f>
        <v>0611830521025</v>
      </c>
      <c r="B138" t="str">
        <f>"MQ0405"</f>
        <v>MQ0405</v>
      </c>
      <c r="C138" t="s">
        <v>117</v>
      </c>
    </row>
    <row r="139" spans="1:3" x14ac:dyDescent="0.25">
      <c r="A139" t="str">
        <f>"0611860435050"</f>
        <v>0611860435050</v>
      </c>
      <c r="B139" t="str">
        <f>"CR3921"</f>
        <v>CR3921</v>
      </c>
      <c r="C139" t="s">
        <v>118</v>
      </c>
    </row>
    <row r="140" spans="1:3" x14ac:dyDescent="0.25">
      <c r="A140" t="str">
        <f>"0611830522025"</f>
        <v>0611830522025</v>
      </c>
      <c r="B140" t="str">
        <f>"MQ0406"</f>
        <v>MQ0406</v>
      </c>
      <c r="C140" t="s">
        <v>120</v>
      </c>
    </row>
    <row r="141" spans="1:3" x14ac:dyDescent="0.25">
      <c r="A141" t="str">
        <f>"0611860436050"</f>
        <v>0611860436050</v>
      </c>
      <c r="B141" t="str">
        <f>"CR3922"</f>
        <v>CR3922</v>
      </c>
      <c r="C141" t="s">
        <v>119</v>
      </c>
    </row>
    <row r="142" spans="1:3" x14ac:dyDescent="0.25">
      <c r="A142" t="str">
        <f>"0611830523025"</f>
        <v>0611830523025</v>
      </c>
      <c r="B142" t="str">
        <f>"MQ0407"</f>
        <v>MQ0407</v>
      </c>
      <c r="C142" t="s">
        <v>121</v>
      </c>
    </row>
    <row r="143" spans="1:3" x14ac:dyDescent="0.25">
      <c r="A143" t="str">
        <f>"0611860437050"</f>
        <v>0611860437050</v>
      </c>
      <c r="B143" t="str">
        <f>"CR3924"</f>
        <v>CR3924</v>
      </c>
      <c r="C143" t="s">
        <v>122</v>
      </c>
    </row>
    <row r="144" spans="1:3" x14ac:dyDescent="0.25">
      <c r="A144" t="str">
        <f>"0611830524025"</f>
        <v>0611830524025</v>
      </c>
      <c r="B144" t="str">
        <f>"MQ0408"</f>
        <v>MQ0408</v>
      </c>
      <c r="C144" t="s">
        <v>124</v>
      </c>
    </row>
    <row r="145" spans="1:3" x14ac:dyDescent="0.25">
      <c r="A145" t="str">
        <f>"0611860438050"</f>
        <v>0611860438050</v>
      </c>
      <c r="B145" t="str">
        <f>"CR3925"</f>
        <v>CR3925</v>
      </c>
      <c r="C145" t="s">
        <v>123</v>
      </c>
    </row>
    <row r="146" spans="1:3" x14ac:dyDescent="0.25">
      <c r="A146" t="str">
        <f>"0611830525025"</f>
        <v>0611830525025</v>
      </c>
      <c r="B146" t="str">
        <f>"MQ0152"</f>
        <v>MQ0152</v>
      </c>
      <c r="C146" t="s">
        <v>125</v>
      </c>
    </row>
    <row r="147" spans="1:3" x14ac:dyDescent="0.25">
      <c r="A147" t="str">
        <f>"0611906630025"</f>
        <v>0611906630025</v>
      </c>
      <c r="B147" t="str">
        <f>"MQ7567"</f>
        <v>MQ7567</v>
      </c>
      <c r="C147" t="s">
        <v>126</v>
      </c>
    </row>
    <row r="148" spans="1:3" x14ac:dyDescent="0.25">
      <c r="A148" t="str">
        <f>"0611906632025"</f>
        <v>0611906632025</v>
      </c>
      <c r="B148" t="str">
        <f>"MQ7568"</f>
        <v>MQ7568</v>
      </c>
      <c r="C148" t="s">
        <v>128</v>
      </c>
    </row>
    <row r="149" spans="1:3" x14ac:dyDescent="0.25">
      <c r="A149" t="str">
        <f>"0611906631025"</f>
        <v>0611906631025</v>
      </c>
      <c r="B149" t="str">
        <f>"MQ7569"</f>
        <v>MQ7569</v>
      </c>
      <c r="C149" t="s">
        <v>127</v>
      </c>
    </row>
    <row r="150" spans="1:3" x14ac:dyDescent="0.25">
      <c r="A150" t="str">
        <f>"0611906633025"</f>
        <v>0611906633025</v>
      </c>
      <c r="B150" t="str">
        <f>"MQ7570"</f>
        <v>MQ7570</v>
      </c>
      <c r="C150" t="s">
        <v>129</v>
      </c>
    </row>
    <row r="151" spans="1:3" x14ac:dyDescent="0.25">
      <c r="A151" t="str">
        <f>"0611906634025"</f>
        <v>0611906634025</v>
      </c>
      <c r="B151" t="str">
        <f>"MQ7571"</f>
        <v>MQ7571</v>
      </c>
      <c r="C151" t="s">
        <v>130</v>
      </c>
    </row>
    <row r="152" spans="1:3" x14ac:dyDescent="0.25">
      <c r="A152" t="str">
        <f>"0611830527025"</f>
        <v>0611830527025</v>
      </c>
      <c r="B152" t="str">
        <f>"MQ6000"</f>
        <v>MQ6000</v>
      </c>
      <c r="C152" t="s">
        <v>131</v>
      </c>
    </row>
    <row r="153" spans="1:3" x14ac:dyDescent="0.25">
      <c r="A153" t="str">
        <f>"0611830528025"</f>
        <v>0611830528025</v>
      </c>
      <c r="B153" t="str">
        <f>"MQ0635"</f>
        <v>MQ0635</v>
      </c>
      <c r="C153" t="s">
        <v>132</v>
      </c>
    </row>
    <row r="154" spans="1:3" x14ac:dyDescent="0.25">
      <c r="A154" t="str">
        <f>"0611830529025"</f>
        <v>0611830529025</v>
      </c>
      <c r="B154" t="str">
        <f>"MQ6001"</f>
        <v>MQ6001</v>
      </c>
      <c r="C154" t="s">
        <v>133</v>
      </c>
    </row>
    <row r="155" spans="1:3" x14ac:dyDescent="0.25">
      <c r="A155" t="str">
        <f>"0611830530025"</f>
        <v>0611830530025</v>
      </c>
      <c r="B155" t="str">
        <f>"MQ0683"</f>
        <v>MQ0683</v>
      </c>
      <c r="C155" t="s">
        <v>134</v>
      </c>
    </row>
    <row r="156" spans="1:3" x14ac:dyDescent="0.25">
      <c r="A156" t="str">
        <f>"0611830531025"</f>
        <v>0611830531025</v>
      </c>
      <c r="B156" t="str">
        <f>"MQ0684"</f>
        <v>MQ0684</v>
      </c>
      <c r="C156" t="s">
        <v>135</v>
      </c>
    </row>
    <row r="157" spans="1:3" x14ac:dyDescent="0.25">
      <c r="A157" t="str">
        <f>"0611830532025"</f>
        <v>0611830532025</v>
      </c>
      <c r="B157" t="str">
        <f>"MQ0459"</f>
        <v>MQ0459</v>
      </c>
      <c r="C157" t="s">
        <v>136</v>
      </c>
    </row>
    <row r="158" spans="1:3" x14ac:dyDescent="0.25">
      <c r="A158" t="str">
        <f>"0611830533025"</f>
        <v>0611830533025</v>
      </c>
      <c r="B158" t="str">
        <f>"MQ0461"</f>
        <v>MQ0461</v>
      </c>
      <c r="C158" t="s">
        <v>137</v>
      </c>
    </row>
    <row r="159" spans="1:3" x14ac:dyDescent="0.25">
      <c r="A159" t="str">
        <f>"0611830534025"</f>
        <v>0611830534025</v>
      </c>
      <c r="B159" t="str">
        <f>"MQ0462"</f>
        <v>MQ0462</v>
      </c>
      <c r="C159" t="s">
        <v>138</v>
      </c>
    </row>
    <row r="160" spans="1:3" x14ac:dyDescent="0.25">
      <c r="A160" t="str">
        <f>"0611830535025"</f>
        <v>0611830535025</v>
      </c>
      <c r="B160" t="str">
        <f>"MQ0558"</f>
        <v>MQ0558</v>
      </c>
      <c r="C160" t="s">
        <v>139</v>
      </c>
    </row>
    <row r="161" spans="1:3" x14ac:dyDescent="0.25">
      <c r="A161" t="str">
        <f>"0611830536025"</f>
        <v>0611830536025</v>
      </c>
      <c r="B161" t="str">
        <f>"MQ0463"</f>
        <v>MQ0463</v>
      </c>
      <c r="C161" t="s">
        <v>140</v>
      </c>
    </row>
    <row r="162" spans="1:3" x14ac:dyDescent="0.25">
      <c r="A162" t="str">
        <f>"0611830538025"</f>
        <v>0611830538025</v>
      </c>
      <c r="B162" t="str">
        <f>"MQ0464"</f>
        <v>MQ0464</v>
      </c>
      <c r="C162" t="s">
        <v>141</v>
      </c>
    </row>
    <row r="163" spans="1:3" x14ac:dyDescent="0.25">
      <c r="A163" t="str">
        <f>"0611830539025"</f>
        <v>0611830539025</v>
      </c>
      <c r="B163" t="str">
        <f>"MQ0465"</f>
        <v>MQ0465</v>
      </c>
      <c r="C163" t="s">
        <v>142</v>
      </c>
    </row>
    <row r="164" spans="1:3" x14ac:dyDescent="0.25">
      <c r="A164" t="str">
        <f>"0611830540025"</f>
        <v>0611830540025</v>
      </c>
      <c r="B164" t="str">
        <f>"MQ0466"</f>
        <v>MQ0466</v>
      </c>
      <c r="C164" t="s">
        <v>143</v>
      </c>
    </row>
    <row r="165" spans="1:3" x14ac:dyDescent="0.25">
      <c r="A165" t="str">
        <f>"0611830541025"</f>
        <v>0611830541025</v>
      </c>
      <c r="B165" t="str">
        <f>"MC2837"</f>
        <v>MC2837</v>
      </c>
      <c r="C165" t="s">
        <v>144</v>
      </c>
    </row>
    <row r="166" spans="1:3" x14ac:dyDescent="0.25">
      <c r="A166" t="str">
        <f>"0611830542025"</f>
        <v>0611830542025</v>
      </c>
      <c r="B166" t="str">
        <f>"MC3539"</f>
        <v>MC3539</v>
      </c>
      <c r="C166" t="s">
        <v>145</v>
      </c>
    </row>
    <row r="167" spans="1:3" x14ac:dyDescent="0.25">
      <c r="A167" t="str">
        <f>"0611906635025"</f>
        <v>0611906635025</v>
      </c>
      <c r="B167" t="str">
        <f>"MC4565"</f>
        <v>MC4565</v>
      </c>
      <c r="C167" t="s">
        <v>146</v>
      </c>
    </row>
    <row r="168" spans="1:3" x14ac:dyDescent="0.25">
      <c r="A168" t="str">
        <f>"0611830544100"</f>
        <v>0611830544100</v>
      </c>
      <c r="B168" t="str">
        <f>"LK6297"</f>
        <v>LK6297</v>
      </c>
      <c r="C168" t="s">
        <v>147</v>
      </c>
    </row>
    <row r="169" spans="1:3" x14ac:dyDescent="0.25">
      <c r="A169" t="str">
        <f>"0611830545100"</f>
        <v>0611830545100</v>
      </c>
      <c r="B169" t="str">
        <f>"LQ6149"</f>
        <v>LQ6149</v>
      </c>
      <c r="C169" t="s">
        <v>148</v>
      </c>
    </row>
    <row r="170" spans="1:3" x14ac:dyDescent="0.25">
      <c r="A170" t="str">
        <f>"0611830547100"</f>
        <v>0611830547100</v>
      </c>
      <c r="B170" t="str">
        <f>"LQ6150"</f>
        <v>LQ6150</v>
      </c>
      <c r="C170" t="s">
        <v>149</v>
      </c>
    </row>
    <row r="171" spans="1:3" x14ac:dyDescent="0.25">
      <c r="A171" t="str">
        <f>"0611830548100"</f>
        <v>0611830548100</v>
      </c>
      <c r="B171" t="str">
        <f>"LQ6049"</f>
        <v>LQ6049</v>
      </c>
      <c r="C171" t="s">
        <v>150</v>
      </c>
    </row>
    <row r="172" spans="1:3" x14ac:dyDescent="0.25">
      <c r="A172" t="str">
        <f>"0611830549100"</f>
        <v>0611830549100</v>
      </c>
      <c r="B172" t="str">
        <f>"LK3768"</f>
        <v>LK3768</v>
      </c>
      <c r="C172" t="s">
        <v>151</v>
      </c>
    </row>
    <row r="173" spans="1:3" x14ac:dyDescent="0.25">
      <c r="A173" t="str">
        <f>"0611830550100"</f>
        <v>0611830550100</v>
      </c>
      <c r="B173" t="str">
        <f>"LQ0776"</f>
        <v>LQ0776</v>
      </c>
      <c r="C173" t="s">
        <v>152</v>
      </c>
    </row>
    <row r="174" spans="1:3" x14ac:dyDescent="0.25">
      <c r="A174" t="str">
        <f>"0611830564100"</f>
        <v>0611830564100</v>
      </c>
      <c r="B174" t="str">
        <f>"LS0001"</f>
        <v>LS0001</v>
      </c>
      <c r="C174" t="s">
        <v>159</v>
      </c>
    </row>
    <row r="175" spans="1:3" x14ac:dyDescent="0.25">
      <c r="A175" t="str">
        <f>"0611830552100"</f>
        <v>0611830552100</v>
      </c>
      <c r="B175" t="str">
        <f>"LB0245"</f>
        <v>LB0245</v>
      </c>
      <c r="C175" t="s">
        <v>153</v>
      </c>
    </row>
    <row r="176" spans="1:3" x14ac:dyDescent="0.25">
      <c r="A176" t="str">
        <f>"0611830553100"</f>
        <v>0611830553100</v>
      </c>
      <c r="B176" t="str">
        <f>"LB0232"</f>
        <v>LB0232</v>
      </c>
      <c r="C176" t="s">
        <v>154</v>
      </c>
    </row>
    <row r="177" spans="1:3" x14ac:dyDescent="0.25">
      <c r="A177" t="str">
        <f>"0611830555100"</f>
        <v>0611830555100</v>
      </c>
      <c r="B177" t="str">
        <f>"LQ3369"</f>
        <v>LQ3369</v>
      </c>
      <c r="C177" t="s">
        <v>155</v>
      </c>
    </row>
    <row r="178" spans="1:3" x14ac:dyDescent="0.25">
      <c r="A178" t="str">
        <f>"0611830556100"</f>
        <v>0611830556100</v>
      </c>
      <c r="B178" t="str">
        <f>"LQ3370"</f>
        <v>LQ3370</v>
      </c>
      <c r="C178" t="s">
        <v>156</v>
      </c>
    </row>
    <row r="179" spans="1:3" x14ac:dyDescent="0.25">
      <c r="A179" t="str">
        <f>"0611830557100"</f>
        <v>0611830557100</v>
      </c>
      <c r="B179" t="str">
        <f>"LQ3371"</f>
        <v>LQ3371</v>
      </c>
      <c r="C179" t="s">
        <v>157</v>
      </c>
    </row>
    <row r="180" spans="1:3" x14ac:dyDescent="0.25">
      <c r="A180" t="str">
        <f>"0611830558100"</f>
        <v>0611830558100</v>
      </c>
      <c r="B180" t="str">
        <f>"LQ3372"</f>
        <v>LQ3372</v>
      </c>
      <c r="C180" t="s">
        <v>158</v>
      </c>
    </row>
    <row r="181" spans="1:3" x14ac:dyDescent="0.25">
      <c r="A181" t="str">
        <f>"0611830565100"</f>
        <v>0611830565100</v>
      </c>
      <c r="B181" t="str">
        <f>"LK5429"</f>
        <v>LK5429</v>
      </c>
      <c r="C181" t="s">
        <v>160</v>
      </c>
    </row>
    <row r="182" spans="1:3" x14ac:dyDescent="0.25">
      <c r="A182" t="str">
        <f>"0611830566100"</f>
        <v>0611830566100</v>
      </c>
      <c r="B182" t="str">
        <f>"LB0280"</f>
        <v>LB0280</v>
      </c>
      <c r="C182" t="s">
        <v>161</v>
      </c>
    </row>
    <row r="183" spans="1:3" x14ac:dyDescent="0.25">
      <c r="A183" t="str">
        <f>"0611830569100"</f>
        <v>0611830569100</v>
      </c>
      <c r="B183" t="str">
        <f>"LK1940"</f>
        <v>LK1940</v>
      </c>
      <c r="C183" t="s">
        <v>162</v>
      </c>
    </row>
    <row r="184" spans="1:3" x14ac:dyDescent="0.25">
      <c r="A184" t="str">
        <f>"0611830570100"</f>
        <v>0611830570100</v>
      </c>
      <c r="B184" t="str">
        <f>"LK1941"</f>
        <v>LK1941</v>
      </c>
      <c r="C184" t="s">
        <v>163</v>
      </c>
    </row>
    <row r="185" spans="1:3" x14ac:dyDescent="0.25">
      <c r="A185" t="str">
        <f>"0611830571100"</f>
        <v>0611830571100</v>
      </c>
      <c r="B185" t="str">
        <f>"LB0231"</f>
        <v>LB0231</v>
      </c>
      <c r="C185" t="s">
        <v>164</v>
      </c>
    </row>
    <row r="186" spans="1:3" x14ac:dyDescent="0.25">
      <c r="A186" t="str">
        <f>"0611830572100"</f>
        <v>0611830572100</v>
      </c>
      <c r="B186" t="str">
        <f>"LB0370"</f>
        <v>LB0370</v>
      </c>
      <c r="C186" t="s">
        <v>165</v>
      </c>
    </row>
    <row r="187" spans="1:3" x14ac:dyDescent="0.25">
      <c r="A187" t="str">
        <f>"0611830573100"</f>
        <v>0611830573100</v>
      </c>
      <c r="B187" t="str">
        <f>"LK5161"</f>
        <v>LK5161</v>
      </c>
      <c r="C187" t="s">
        <v>166</v>
      </c>
    </row>
    <row r="188" spans="1:3" x14ac:dyDescent="0.25">
      <c r="A188" t="str">
        <f>"0611830574100"</f>
        <v>0611830574100</v>
      </c>
      <c r="B188" t="str">
        <f>"LF0369"</f>
        <v>LF0369</v>
      </c>
      <c r="C188" t="s">
        <v>167</v>
      </c>
    </row>
    <row r="189" spans="1:3" x14ac:dyDescent="0.25">
      <c r="A189" t="str">
        <f>"0611830575100"</f>
        <v>0611830575100</v>
      </c>
      <c r="B189" t="str">
        <f>"LF0022"</f>
        <v>LF0022</v>
      </c>
      <c r="C189" t="s">
        <v>168</v>
      </c>
    </row>
    <row r="190" spans="1:3" x14ac:dyDescent="0.25">
      <c r="A190" t="str">
        <f>"0611830576100"</f>
        <v>0611830576100</v>
      </c>
      <c r="B190" t="str">
        <f>"LQ0672"</f>
        <v>LQ0672</v>
      </c>
      <c r="C190" t="s">
        <v>169</v>
      </c>
    </row>
    <row r="191" spans="1:3" x14ac:dyDescent="0.25">
      <c r="A191" t="str">
        <f>"0611830577100"</f>
        <v>0611830577100</v>
      </c>
      <c r="B191" t="str">
        <f>"LQ3254"</f>
        <v>LQ3254</v>
      </c>
      <c r="C191" t="s">
        <v>172</v>
      </c>
    </row>
    <row r="192" spans="1:3" x14ac:dyDescent="0.25">
      <c r="A192" t="str">
        <f>"0611860439100"</f>
        <v>0611860439100</v>
      </c>
      <c r="B192" t="str">
        <f>"CN5005"</f>
        <v>CN5005</v>
      </c>
      <c r="C192" t="s">
        <v>170</v>
      </c>
    </row>
    <row r="193" spans="1:3" x14ac:dyDescent="0.25">
      <c r="A193" t="str">
        <f>"0611830578025"</f>
        <v>0611830578025</v>
      </c>
      <c r="B193" t="str">
        <f>"MQ3008"</f>
        <v>MQ3008</v>
      </c>
      <c r="C193" t="s">
        <v>173</v>
      </c>
    </row>
    <row r="194" spans="1:3" x14ac:dyDescent="0.25">
      <c r="A194" t="str">
        <f>"0611860440050"</f>
        <v>0611860440050</v>
      </c>
      <c r="B194" t="str">
        <f>"CR4157"</f>
        <v>CR4157</v>
      </c>
      <c r="C194" t="s">
        <v>171</v>
      </c>
    </row>
    <row r="195" spans="1:3" x14ac:dyDescent="0.25">
      <c r="A195" t="str">
        <f>"0611830579025"</f>
        <v>0611830579025</v>
      </c>
      <c r="B195" t="str">
        <f>"MQ5157"</f>
        <v>MQ5157</v>
      </c>
      <c r="C195" t="s">
        <v>174</v>
      </c>
    </row>
    <row r="196" spans="1:3" x14ac:dyDescent="0.25">
      <c r="A196" t="str">
        <f>"0611830580100"</f>
        <v>0611830580100</v>
      </c>
      <c r="B196" t="str">
        <f>"LH0507"</f>
        <v>LH0507</v>
      </c>
      <c r="C196" t="s">
        <v>176</v>
      </c>
    </row>
    <row r="197" spans="1:3" x14ac:dyDescent="0.25">
      <c r="A197" t="str">
        <f>"0611830581025"</f>
        <v>0611830581025</v>
      </c>
      <c r="B197" t="str">
        <f>"MC0015"</f>
        <v>MC0015</v>
      </c>
      <c r="C197" t="s">
        <v>177</v>
      </c>
    </row>
    <row r="198" spans="1:3" x14ac:dyDescent="0.25">
      <c r="A198" t="str">
        <f>"0611860441100"</f>
        <v>0611860441100</v>
      </c>
      <c r="B198" t="str">
        <f>"CN5006"</f>
        <v>CN5006</v>
      </c>
      <c r="C198" t="s">
        <v>175</v>
      </c>
    </row>
    <row r="199" spans="1:3" x14ac:dyDescent="0.25">
      <c r="A199" t="str">
        <f>"0611830582100"</f>
        <v>0611830582100</v>
      </c>
      <c r="B199" t="str">
        <f>"LH0510"</f>
        <v>LH0510</v>
      </c>
      <c r="C199" t="s">
        <v>178</v>
      </c>
    </row>
    <row r="200" spans="1:3" x14ac:dyDescent="0.25">
      <c r="A200" t="str">
        <f>"0611830583025"</f>
        <v>0611830583025</v>
      </c>
      <c r="B200" t="str">
        <f>"MC0016"</f>
        <v>MC0016</v>
      </c>
      <c r="C200" t="s">
        <v>179</v>
      </c>
    </row>
    <row r="201" spans="1:3" x14ac:dyDescent="0.25">
      <c r="A201" t="str">
        <f>"0611860442050"</f>
        <v>0611860442050</v>
      </c>
      <c r="B201" t="str">
        <f>"CE0955"</f>
        <v>CE0955</v>
      </c>
      <c r="C201" t="s">
        <v>181</v>
      </c>
    </row>
    <row r="202" spans="1:3" x14ac:dyDescent="0.25">
      <c r="A202" t="str">
        <f>"0611860443100"</f>
        <v>0611860443100</v>
      </c>
      <c r="B202" t="str">
        <f>"CN5007"</f>
        <v>CN5007</v>
      </c>
      <c r="C202" t="s">
        <v>180</v>
      </c>
    </row>
    <row r="203" spans="1:3" x14ac:dyDescent="0.25">
      <c r="A203" t="str">
        <f>"0611860444100"</f>
        <v>0611860444100</v>
      </c>
      <c r="B203" t="str">
        <f>"CN5008"</f>
        <v>CN5008</v>
      </c>
      <c r="C203" t="s">
        <v>182</v>
      </c>
    </row>
    <row r="204" spans="1:3" x14ac:dyDescent="0.25">
      <c r="A204" t="str">
        <f>"0611830584025"</f>
        <v>0611830584025</v>
      </c>
      <c r="B204" t="str">
        <f>"MC0018"</f>
        <v>MC0018</v>
      </c>
      <c r="C204" t="s">
        <v>183</v>
      </c>
    </row>
    <row r="205" spans="1:3" x14ac:dyDescent="0.25">
      <c r="A205" t="str">
        <f>"0611860445100"</f>
        <v>0611860445100</v>
      </c>
      <c r="B205" t="str">
        <f>"CN5012"</f>
        <v>CN5012</v>
      </c>
      <c r="C205" t="s">
        <v>184</v>
      </c>
    </row>
    <row r="206" spans="1:3" x14ac:dyDescent="0.25">
      <c r="A206" t="str">
        <f>"0611830585025"</f>
        <v>0611830585025</v>
      </c>
      <c r="B206" t="str">
        <f>"MC1605"</f>
        <v>MC1605</v>
      </c>
      <c r="C206" t="s">
        <v>185</v>
      </c>
    </row>
    <row r="207" spans="1:3" x14ac:dyDescent="0.25">
      <c r="A207" t="str">
        <f>"0611860446050"</f>
        <v>0611860446050</v>
      </c>
      <c r="B207" t="str">
        <f>"CR4159"</f>
        <v>CR4159</v>
      </c>
      <c r="C207" t="s">
        <v>186</v>
      </c>
    </row>
    <row r="208" spans="1:3" x14ac:dyDescent="0.25">
      <c r="A208" t="str">
        <f>"0611856809025"</f>
        <v>0611856809025</v>
      </c>
      <c r="B208" t="str">
        <f>"MQ0751"</f>
        <v>MQ0751</v>
      </c>
      <c r="C208" t="s">
        <v>187</v>
      </c>
    </row>
    <row r="209" spans="1:3" x14ac:dyDescent="0.25">
      <c r="A209" t="str">
        <f>"0611856810025"</f>
        <v>0611856810025</v>
      </c>
      <c r="B209" t="str">
        <f>"MQ0752"</f>
        <v>MQ0752</v>
      </c>
      <c r="C209" t="s">
        <v>188</v>
      </c>
    </row>
    <row r="210" spans="1:3" x14ac:dyDescent="0.25">
      <c r="A210" t="str">
        <f>"0611856811025"</f>
        <v>0611856811025</v>
      </c>
      <c r="B210" t="str">
        <f>"MQ0753"</f>
        <v>MQ0753</v>
      </c>
      <c r="C210" t="s">
        <v>189</v>
      </c>
    </row>
    <row r="211" spans="1:3" x14ac:dyDescent="0.25">
      <c r="A211" t="str">
        <f>"0611856812025"</f>
        <v>0611856812025</v>
      </c>
      <c r="B211" t="str">
        <f>"MQ0754"</f>
        <v>MQ0754</v>
      </c>
      <c r="C211" t="s">
        <v>190</v>
      </c>
    </row>
    <row r="212" spans="1:3" x14ac:dyDescent="0.25">
      <c r="A212" t="str">
        <f>"0611856813025"</f>
        <v>0611856813025</v>
      </c>
      <c r="B212" t="str">
        <f>"MQ0755"</f>
        <v>MQ0755</v>
      </c>
      <c r="C212" t="s">
        <v>191</v>
      </c>
    </row>
    <row r="213" spans="1:3" x14ac:dyDescent="0.25">
      <c r="A213" t="str">
        <f>"0611856814025"</f>
        <v>0611856814025</v>
      </c>
      <c r="B213" t="str">
        <f>"MQ0756"</f>
        <v>MQ0756</v>
      </c>
      <c r="C213" t="s">
        <v>192</v>
      </c>
    </row>
    <row r="214" spans="1:3" x14ac:dyDescent="0.25">
      <c r="A214" t="str">
        <f>"0611856815025"</f>
        <v>0611856815025</v>
      </c>
      <c r="B214" t="str">
        <f>"MQ0757"</f>
        <v>MQ0757</v>
      </c>
      <c r="C214" t="s">
        <v>193</v>
      </c>
    </row>
    <row r="215" spans="1:3" x14ac:dyDescent="0.25">
      <c r="A215" t="str">
        <f>"0611860447100"</f>
        <v>0611860447100</v>
      </c>
      <c r="B215" t="str">
        <f>"CN5009"</f>
        <v>CN5009</v>
      </c>
      <c r="C215" t="s">
        <v>194</v>
      </c>
    </row>
    <row r="216" spans="1:3" x14ac:dyDescent="0.25">
      <c r="A216" t="str">
        <f>"0611830586025"</f>
        <v>0611830586025</v>
      </c>
      <c r="B216" t="str">
        <f>"MC2838"</f>
        <v>MC2838</v>
      </c>
      <c r="C216" t="s">
        <v>195</v>
      </c>
    </row>
    <row r="217" spans="1:3" x14ac:dyDescent="0.25">
      <c r="A217" t="str">
        <f>"0611860448100"</f>
        <v>0611860448100</v>
      </c>
      <c r="B217" t="str">
        <f>"CN5010"</f>
        <v>CN5010</v>
      </c>
      <c r="C217" t="s">
        <v>196</v>
      </c>
    </row>
    <row r="218" spans="1:3" x14ac:dyDescent="0.25">
      <c r="A218" t="str">
        <f>"0611830587025"</f>
        <v>0611830587025</v>
      </c>
      <c r="B218" t="str">
        <f>"MC2208"</f>
        <v>MC2208</v>
      </c>
      <c r="C218" t="s">
        <v>197</v>
      </c>
    </row>
    <row r="219" spans="1:3" x14ac:dyDescent="0.25">
      <c r="A219" t="str">
        <f>"0611860449050"</f>
        <v>0611860449050</v>
      </c>
      <c r="B219" t="str">
        <f>"CR4156"</f>
        <v>CR4156</v>
      </c>
      <c r="C219" t="s">
        <v>198</v>
      </c>
    </row>
    <row r="220" spans="1:3" x14ac:dyDescent="0.25">
      <c r="A220" t="str">
        <f>"0611860451100"</f>
        <v>0611860451100</v>
      </c>
      <c r="B220" t="str">
        <f>"CN2343"</f>
        <v>CN2343</v>
      </c>
      <c r="C220" t="s">
        <v>199</v>
      </c>
    </row>
    <row r="221" spans="1:3" x14ac:dyDescent="0.25">
      <c r="A221" t="str">
        <f>"0611860452100"</f>
        <v>0611860452100</v>
      </c>
      <c r="B221" t="str">
        <f>"CN2341"</f>
        <v>CN2341</v>
      </c>
      <c r="C221" t="s">
        <v>200</v>
      </c>
    </row>
    <row r="222" spans="1:3" x14ac:dyDescent="0.25">
      <c r="A222" t="str">
        <f>"0611860453100"</f>
        <v>0611860453100</v>
      </c>
      <c r="B222" t="str">
        <f>"CN2342"</f>
        <v>CN2342</v>
      </c>
      <c r="C222" t="s">
        <v>201</v>
      </c>
    </row>
    <row r="223" spans="1:3" x14ac:dyDescent="0.25">
      <c r="A223" t="str">
        <f>"0611893310100"</f>
        <v>0611893310100</v>
      </c>
      <c r="B223" t="str">
        <f>"CN5443"</f>
        <v>CN5443</v>
      </c>
      <c r="C223" t="s">
        <v>202</v>
      </c>
    </row>
    <row r="224" spans="1:3" x14ac:dyDescent="0.25">
      <c r="A224" t="str">
        <f>"0611830593025"</f>
        <v>0611830593025</v>
      </c>
      <c r="B224" t="str">
        <f>"MC0991"</f>
        <v>MC0991</v>
      </c>
      <c r="C224" t="s">
        <v>203</v>
      </c>
    </row>
    <row r="225" spans="1:3" x14ac:dyDescent="0.25">
      <c r="A225" t="str">
        <f>"0611830594100"</f>
        <v>0611830594100</v>
      </c>
      <c r="B225" t="str">
        <f>"LH4730"</f>
        <v>LH4730</v>
      </c>
      <c r="C225" t="s">
        <v>204</v>
      </c>
    </row>
    <row r="226" spans="1:3" x14ac:dyDescent="0.25">
      <c r="A226" t="str">
        <f>"0611830595025"</f>
        <v>0611830595025</v>
      </c>
      <c r="B226" t="str">
        <f>"MC0020"</f>
        <v>MC0020</v>
      </c>
      <c r="C226" t="s">
        <v>205</v>
      </c>
    </row>
    <row r="227" spans="1:3" x14ac:dyDescent="0.25">
      <c r="A227" t="str">
        <f>"0611830596025"</f>
        <v>0611830596025</v>
      </c>
      <c r="B227" t="str">
        <f>"MC0021"</f>
        <v>MC0021</v>
      </c>
      <c r="C227" t="s">
        <v>206</v>
      </c>
    </row>
    <row r="228" spans="1:3" x14ac:dyDescent="0.25">
      <c r="A228" t="str">
        <f>"0611830592025"</f>
        <v>0611830592025</v>
      </c>
      <c r="B228" t="str">
        <f>"MC3598"</f>
        <v>MC3598</v>
      </c>
      <c r="C228" t="s">
        <v>208</v>
      </c>
    </row>
    <row r="229" spans="1:3" x14ac:dyDescent="0.25">
      <c r="A229" t="str">
        <f>"0611830597025"</f>
        <v>0611830597025</v>
      </c>
      <c r="B229" t="str">
        <f>"MC0024"</f>
        <v>MC0024</v>
      </c>
      <c r="C229" t="s">
        <v>207</v>
      </c>
    </row>
    <row r="230" spans="1:3" x14ac:dyDescent="0.25">
      <c r="A230" t="str">
        <f>"0611830598025"</f>
        <v>0611830598025</v>
      </c>
      <c r="B230" t="str">
        <f>"MC0025"</f>
        <v>MC0025</v>
      </c>
      <c r="C230" t="s">
        <v>209</v>
      </c>
    </row>
    <row r="231" spans="1:3" x14ac:dyDescent="0.25">
      <c r="A231" t="str">
        <f>"0611830599025"</f>
        <v>0611830599025</v>
      </c>
      <c r="B231" t="str">
        <f>"MC0026"</f>
        <v>MC0026</v>
      </c>
      <c r="C231" t="s">
        <v>210</v>
      </c>
    </row>
    <row r="232" spans="1:3" x14ac:dyDescent="0.25">
      <c r="A232" t="str">
        <f>"0611830600025"</f>
        <v>0611830600025</v>
      </c>
      <c r="B232" t="str">
        <f>"MC1768"</f>
        <v>MC1768</v>
      </c>
      <c r="C232" t="s">
        <v>211</v>
      </c>
    </row>
    <row r="233" spans="1:3" x14ac:dyDescent="0.25">
      <c r="A233" t="str">
        <f>"0611830601025"</f>
        <v>0611830601025</v>
      </c>
      <c r="B233" t="str">
        <f>"MC1767"</f>
        <v>MC1767</v>
      </c>
      <c r="C233" t="s">
        <v>212</v>
      </c>
    </row>
    <row r="234" spans="1:3" x14ac:dyDescent="0.25">
      <c r="A234" t="str">
        <f>"0611830602025"</f>
        <v>0611830602025</v>
      </c>
      <c r="B234" t="str">
        <f>"MC0994"</f>
        <v>MC0994</v>
      </c>
      <c r="C234" t="s">
        <v>213</v>
      </c>
    </row>
    <row r="235" spans="1:3" x14ac:dyDescent="0.25">
      <c r="A235" t="str">
        <f>"0611830603025"</f>
        <v>0611830603025</v>
      </c>
      <c r="B235" t="str">
        <f>"MC3670"</f>
        <v>MC3670</v>
      </c>
      <c r="C235" t="s">
        <v>214</v>
      </c>
    </row>
    <row r="236" spans="1:3" x14ac:dyDescent="0.25">
      <c r="A236" t="str">
        <f>"0611830604025"</f>
        <v>0611830604025</v>
      </c>
      <c r="B236" t="str">
        <f>"MC0027"</f>
        <v>MC0027</v>
      </c>
      <c r="C236" t="s">
        <v>215</v>
      </c>
    </row>
    <row r="237" spans="1:3" x14ac:dyDescent="0.25">
      <c r="A237" t="str">
        <f>"0611830605025"</f>
        <v>0611830605025</v>
      </c>
      <c r="B237" t="str">
        <f>"MC1606"</f>
        <v>MC1606</v>
      </c>
      <c r="C237" t="s">
        <v>216</v>
      </c>
    </row>
    <row r="238" spans="1:3" x14ac:dyDescent="0.25">
      <c r="A238" t="str">
        <f>"0611830606100"</f>
        <v>0611830606100</v>
      </c>
      <c r="B238" t="str">
        <f>"LK1258"</f>
        <v>LK1258</v>
      </c>
      <c r="C238" t="s">
        <v>217</v>
      </c>
    </row>
    <row r="239" spans="1:3" x14ac:dyDescent="0.25">
      <c r="A239" t="str">
        <f>"0611830607025"</f>
        <v>0611830607025</v>
      </c>
      <c r="B239" t="str">
        <f>"MC0029"</f>
        <v>MC0029</v>
      </c>
      <c r="C239" t="s">
        <v>218</v>
      </c>
    </row>
    <row r="240" spans="1:3" x14ac:dyDescent="0.25">
      <c r="A240" t="str">
        <f>"0611830608025"</f>
        <v>0611830608025</v>
      </c>
      <c r="B240" t="str">
        <f>"MC3467"</f>
        <v>MC3467</v>
      </c>
      <c r="C240" t="s">
        <v>219</v>
      </c>
    </row>
    <row r="241" spans="1:3" x14ac:dyDescent="0.25">
      <c r="A241" t="str">
        <f>"0611830609025"</f>
        <v>0611830609025</v>
      </c>
      <c r="B241" t="str">
        <f>"MC3468"</f>
        <v>MC3468</v>
      </c>
      <c r="C241" t="s">
        <v>220</v>
      </c>
    </row>
    <row r="242" spans="1:3" x14ac:dyDescent="0.25">
      <c r="A242" t="str">
        <f>"0611830611025"</f>
        <v>0611830611025</v>
      </c>
      <c r="B242" t="str">
        <f>"MC3470"</f>
        <v>MC3470</v>
      </c>
      <c r="C242" t="s">
        <v>221</v>
      </c>
    </row>
    <row r="243" spans="1:3" x14ac:dyDescent="0.25">
      <c r="A243" t="str">
        <f>"0611830612025"</f>
        <v>0611830612025</v>
      </c>
      <c r="B243" t="str">
        <f>"MC4040"</f>
        <v>MC4040</v>
      </c>
      <c r="C243" t="s">
        <v>222</v>
      </c>
    </row>
    <row r="244" spans="1:3" x14ac:dyDescent="0.25">
      <c r="A244" t="str">
        <f>"0611830613025"</f>
        <v>0611830613025</v>
      </c>
      <c r="B244" t="str">
        <f>"MC4041"</f>
        <v>MC4041</v>
      </c>
      <c r="C244" t="s">
        <v>223</v>
      </c>
    </row>
    <row r="245" spans="1:3" x14ac:dyDescent="0.25">
      <c r="A245" t="str">
        <f>"0611830614025"</f>
        <v>0611830614025</v>
      </c>
      <c r="B245" t="str">
        <f>"MC4042"</f>
        <v>MC4042</v>
      </c>
      <c r="C245" t="s">
        <v>224</v>
      </c>
    </row>
    <row r="246" spans="1:3" x14ac:dyDescent="0.25">
      <c r="A246" t="str">
        <f>"0611830618025"</f>
        <v>0611830618025</v>
      </c>
      <c r="B246" t="str">
        <f>"MC3383"</f>
        <v>MC3383</v>
      </c>
      <c r="C246" t="s">
        <v>225</v>
      </c>
    </row>
    <row r="247" spans="1:3" x14ac:dyDescent="0.25">
      <c r="A247" t="str">
        <f>"0611830619025"</f>
        <v>0611830619025</v>
      </c>
      <c r="B247" t="str">
        <f>"MC4044"</f>
        <v>MC4044</v>
      </c>
      <c r="C247" t="s">
        <v>226</v>
      </c>
    </row>
    <row r="248" spans="1:3" x14ac:dyDescent="0.25">
      <c r="A248" t="str">
        <f>"0611830616025"</f>
        <v>0611830616025</v>
      </c>
      <c r="B248" t="str">
        <f>"MC4045"</f>
        <v>MC4045</v>
      </c>
      <c r="C248" t="s">
        <v>227</v>
      </c>
    </row>
    <row r="249" spans="1:3" x14ac:dyDescent="0.25">
      <c r="A249" t="str">
        <f>"0611830620100"</f>
        <v>0611830620100</v>
      </c>
      <c r="B249" t="str">
        <f>"LH4799"</f>
        <v>LH4799</v>
      </c>
      <c r="C249" t="s">
        <v>228</v>
      </c>
    </row>
    <row r="250" spans="1:3" x14ac:dyDescent="0.25">
      <c r="A250" t="str">
        <f>"0611830622025"</f>
        <v>0611830622025</v>
      </c>
      <c r="B250" t="str">
        <f>"MC4129"</f>
        <v>MC4129</v>
      </c>
      <c r="C250" t="s">
        <v>229</v>
      </c>
    </row>
    <row r="251" spans="1:3" x14ac:dyDescent="0.25">
      <c r="A251" t="str">
        <f>"0611830623025"</f>
        <v>0611830623025</v>
      </c>
      <c r="B251" t="str">
        <f>"MC0997"</f>
        <v>MC0997</v>
      </c>
      <c r="C251" t="s">
        <v>230</v>
      </c>
    </row>
    <row r="252" spans="1:3" x14ac:dyDescent="0.25">
      <c r="A252" t="str">
        <f>"0611830624025"</f>
        <v>0611830624025</v>
      </c>
      <c r="B252" t="str">
        <f>"MC3336"</f>
        <v>MC3336</v>
      </c>
      <c r="C252" t="s">
        <v>231</v>
      </c>
    </row>
    <row r="253" spans="1:3" x14ac:dyDescent="0.25">
      <c r="A253" t="str">
        <f>"0611830625025"</f>
        <v>0611830625025</v>
      </c>
      <c r="B253" t="str">
        <f>"MC0030"</f>
        <v>MC0030</v>
      </c>
      <c r="C253" t="s">
        <v>232</v>
      </c>
    </row>
    <row r="254" spans="1:3" x14ac:dyDescent="0.25">
      <c r="A254" t="str">
        <f>"0611830626100"</f>
        <v>0611830626100</v>
      </c>
      <c r="B254" t="str">
        <f>"LH0460"</f>
        <v>LH0460</v>
      </c>
      <c r="C254" t="s">
        <v>233</v>
      </c>
    </row>
    <row r="255" spans="1:3" x14ac:dyDescent="0.25">
      <c r="A255" t="str">
        <f>"0611830627025"</f>
        <v>0611830627025</v>
      </c>
      <c r="B255" t="str">
        <f>"MC4130"</f>
        <v>MC4130</v>
      </c>
      <c r="C255" t="s">
        <v>234</v>
      </c>
    </row>
    <row r="256" spans="1:3" x14ac:dyDescent="0.25">
      <c r="A256" t="str">
        <f>"0611830628100"</f>
        <v>0611830628100</v>
      </c>
      <c r="B256" t="str">
        <f>"LL2828"</f>
        <v>LL2828</v>
      </c>
      <c r="C256" t="s">
        <v>235</v>
      </c>
    </row>
    <row r="257" spans="1:3" x14ac:dyDescent="0.25">
      <c r="A257" t="str">
        <f>"0611830629100"</f>
        <v>0611830629100</v>
      </c>
      <c r="B257" t="str">
        <f>"LL2776"</f>
        <v>LL2776</v>
      </c>
      <c r="C257" t="s">
        <v>236</v>
      </c>
    </row>
    <row r="258" spans="1:3" x14ac:dyDescent="0.25">
      <c r="A258" t="str">
        <f>"0611830630100"</f>
        <v>0611830630100</v>
      </c>
      <c r="B258" t="str">
        <f>"LL8205"</f>
        <v>LL8205</v>
      </c>
      <c r="C258" t="s">
        <v>237</v>
      </c>
    </row>
    <row r="259" spans="1:3" x14ac:dyDescent="0.25">
      <c r="A259" t="str">
        <f>"0611830631100"</f>
        <v>0611830631100</v>
      </c>
      <c r="B259" t="str">
        <f>"LL2782"</f>
        <v>LL2782</v>
      </c>
      <c r="C259" t="s">
        <v>238</v>
      </c>
    </row>
    <row r="260" spans="1:3" x14ac:dyDescent="0.25">
      <c r="A260" t="str">
        <f>"0611830632100"</f>
        <v>0611830632100</v>
      </c>
      <c r="B260" t="str">
        <f>"LC5850"</f>
        <v>LC5850</v>
      </c>
      <c r="C260" t="s">
        <v>239</v>
      </c>
    </row>
    <row r="261" spans="1:3" x14ac:dyDescent="0.25">
      <c r="A261" t="str">
        <f>"0611830633200"</f>
        <v>0611830633200</v>
      </c>
      <c r="B261" t="str">
        <f>"KP5725"</f>
        <v>KP5725</v>
      </c>
      <c r="C261" t="s">
        <v>240</v>
      </c>
    </row>
    <row r="262" spans="1:3" x14ac:dyDescent="0.25">
      <c r="A262" t="str">
        <f>"0611830634025"</f>
        <v>0611830634025</v>
      </c>
      <c r="B262" t="str">
        <f>"MC0784"</f>
        <v>MC0784</v>
      </c>
      <c r="C262" t="s">
        <v>241</v>
      </c>
    </row>
    <row r="263" spans="1:3" x14ac:dyDescent="0.25">
      <c r="A263" t="str">
        <f>"0611830637100"</f>
        <v>0611830637100</v>
      </c>
      <c r="B263" t="str">
        <f>"LC5851"</f>
        <v>LC5851</v>
      </c>
      <c r="C263" t="s">
        <v>242</v>
      </c>
    </row>
    <row r="264" spans="1:3" x14ac:dyDescent="0.25">
      <c r="A264" t="str">
        <f>"0611830638025"</f>
        <v>0611830638025</v>
      </c>
      <c r="B264" t="str">
        <f>"MC0785"</f>
        <v>MC0785</v>
      </c>
      <c r="C264" t="s">
        <v>243</v>
      </c>
    </row>
    <row r="265" spans="1:3" x14ac:dyDescent="0.25">
      <c r="A265" t="str">
        <f>"0611830640100"</f>
        <v>0611830640100</v>
      </c>
      <c r="B265" t="str">
        <f>"LC5855"</f>
        <v>LC5855</v>
      </c>
      <c r="C265" t="s">
        <v>245</v>
      </c>
    </row>
    <row r="266" spans="1:3" x14ac:dyDescent="0.25">
      <c r="A266" t="str">
        <f>"0611830639100"</f>
        <v>0611830639100</v>
      </c>
      <c r="B266" t="str">
        <f>"LC6625"</f>
        <v>LC6625</v>
      </c>
      <c r="C266" t="s">
        <v>244</v>
      </c>
    </row>
    <row r="267" spans="1:3" x14ac:dyDescent="0.25">
      <c r="A267" t="str">
        <f>"0611883989025"</f>
        <v>0611883989025</v>
      </c>
      <c r="B267" t="str">
        <f>"MC4469"</f>
        <v>MC4469</v>
      </c>
      <c r="C267" t="s">
        <v>246</v>
      </c>
    </row>
    <row r="268" spans="1:3" x14ac:dyDescent="0.25">
      <c r="A268" t="str">
        <f>"0611883990025"</f>
        <v>0611883990025</v>
      </c>
      <c r="B268" t="str">
        <f>"MC4454"</f>
        <v>MC4454</v>
      </c>
      <c r="C268" t="s">
        <v>247</v>
      </c>
    </row>
    <row r="269" spans="1:3" x14ac:dyDescent="0.25">
      <c r="A269" t="str">
        <f>"0611830646025"</f>
        <v>0611830646025</v>
      </c>
      <c r="B269" t="str">
        <f>"MC4276"</f>
        <v>MC4276</v>
      </c>
      <c r="C269" t="s">
        <v>248</v>
      </c>
    </row>
    <row r="270" spans="1:3" x14ac:dyDescent="0.25">
      <c r="A270" t="str">
        <f>"0611830666100"</f>
        <v>0611830666100</v>
      </c>
      <c r="B270" t="str">
        <f>"LG8026"</f>
        <v>LG8026</v>
      </c>
      <c r="C270" t="s">
        <v>249</v>
      </c>
    </row>
    <row r="271" spans="1:3" x14ac:dyDescent="0.25">
      <c r="A271" t="str">
        <f>"0611830665100"</f>
        <v>0611830665100</v>
      </c>
      <c r="B271" t="str">
        <f>"LF0270"</f>
        <v>LF0270</v>
      </c>
      <c r="C271" t="s">
        <v>250</v>
      </c>
    </row>
    <row r="272" spans="1:3" x14ac:dyDescent="0.25">
      <c r="A272" t="str">
        <f>"0611830667100"</f>
        <v>0611830667100</v>
      </c>
      <c r="B272" t="str">
        <f>"LF0027"</f>
        <v>LF0027</v>
      </c>
      <c r="C272" t="s">
        <v>251</v>
      </c>
    </row>
    <row r="273" spans="1:3" x14ac:dyDescent="0.25">
      <c r="A273" t="str">
        <f>"0611906636025"</f>
        <v>0611906636025</v>
      </c>
      <c r="B273" t="str">
        <f>"MC4516"</f>
        <v>MC4516</v>
      </c>
      <c r="C273" t="s">
        <v>252</v>
      </c>
    </row>
    <row r="274" spans="1:3" x14ac:dyDescent="0.25">
      <c r="A274" t="str">
        <f>"0611830668100"</f>
        <v>0611830668100</v>
      </c>
      <c r="B274" t="str">
        <f>"LG8027"</f>
        <v>LG8027</v>
      </c>
      <c r="C274" t="s">
        <v>253</v>
      </c>
    </row>
    <row r="275" spans="1:3" x14ac:dyDescent="0.25">
      <c r="A275" t="str">
        <f>"0611860455100"</f>
        <v>0611860455100</v>
      </c>
      <c r="B275" t="str">
        <f>"CN2323"</f>
        <v>CN2323</v>
      </c>
      <c r="C275" t="s">
        <v>254</v>
      </c>
    </row>
    <row r="276" spans="1:3" x14ac:dyDescent="0.25">
      <c r="A276" t="str">
        <f>"0611860457100"</f>
        <v>0611860457100</v>
      </c>
      <c r="B276" t="str">
        <f>"CN2008"</f>
        <v>CN2008</v>
      </c>
      <c r="C276" t="s">
        <v>255</v>
      </c>
    </row>
    <row r="277" spans="1:3" x14ac:dyDescent="0.25">
      <c r="A277" t="str">
        <f>"0611830669100"</f>
        <v>0611830669100</v>
      </c>
      <c r="B277" t="str">
        <f>"LC5095"</f>
        <v>LC5095</v>
      </c>
      <c r="C277" t="s">
        <v>5939</v>
      </c>
    </row>
    <row r="278" spans="1:3" x14ac:dyDescent="0.25">
      <c r="A278" t="str">
        <f>"0611830671100"</f>
        <v>0611830671100</v>
      </c>
      <c r="B278" t="str">
        <f>"LF0479"</f>
        <v>LF0479</v>
      </c>
      <c r="C278" t="s">
        <v>256</v>
      </c>
    </row>
    <row r="279" spans="1:3" x14ac:dyDescent="0.25">
      <c r="A279" t="str">
        <f>"0611830670100"</f>
        <v>0611830670100</v>
      </c>
      <c r="B279" t="str">
        <f>"LG0998"</f>
        <v>LG0998</v>
      </c>
      <c r="C279" t="s">
        <v>12152</v>
      </c>
    </row>
    <row r="280" spans="1:3" x14ac:dyDescent="0.25">
      <c r="A280" t="str">
        <f>"0611860458100"</f>
        <v>0611860458100</v>
      </c>
      <c r="B280" t="str">
        <f>"CN2269"</f>
        <v>CN2269</v>
      </c>
      <c r="C280" t="s">
        <v>257</v>
      </c>
    </row>
    <row r="281" spans="1:3" x14ac:dyDescent="0.25">
      <c r="A281" t="str">
        <f>"0611860459100"</f>
        <v>0611860459100</v>
      </c>
      <c r="B281" t="str">
        <f>"CN5013"</f>
        <v>CN5013</v>
      </c>
      <c r="C281" t="s">
        <v>258</v>
      </c>
    </row>
    <row r="282" spans="1:3" x14ac:dyDescent="0.25">
      <c r="A282" t="str">
        <f>"0611860460050"</f>
        <v>0611860460050</v>
      </c>
      <c r="B282" t="str">
        <f>"CR4160"</f>
        <v>CR4160</v>
      </c>
      <c r="C282" t="s">
        <v>259</v>
      </c>
    </row>
    <row r="283" spans="1:3" x14ac:dyDescent="0.25">
      <c r="A283" t="str">
        <f>"0611860461050"</f>
        <v>0611860461050</v>
      </c>
      <c r="B283" t="str">
        <f>"CR4161"</f>
        <v>CR4161</v>
      </c>
      <c r="C283" t="s">
        <v>260</v>
      </c>
    </row>
    <row r="284" spans="1:3" x14ac:dyDescent="0.25">
      <c r="A284" t="str">
        <f>"0611860462050"</f>
        <v>0611860462050</v>
      </c>
      <c r="B284" t="str">
        <f>"CR4162"</f>
        <v>CR4162</v>
      </c>
      <c r="C284" t="s">
        <v>261</v>
      </c>
    </row>
    <row r="285" spans="1:3" x14ac:dyDescent="0.25">
      <c r="A285" t="str">
        <f>"0611860463050"</f>
        <v>0611860463050</v>
      </c>
      <c r="B285" t="str">
        <f>"CR4163"</f>
        <v>CR4163</v>
      </c>
      <c r="C285" t="s">
        <v>262</v>
      </c>
    </row>
    <row r="286" spans="1:3" x14ac:dyDescent="0.25">
      <c r="A286" t="str">
        <f>"0611830674100"</f>
        <v>0611830674100</v>
      </c>
      <c r="B286" t="str">
        <f>"LH0570"</f>
        <v>LH0570</v>
      </c>
      <c r="C286" t="s">
        <v>263</v>
      </c>
    </row>
    <row r="287" spans="1:3" x14ac:dyDescent="0.25">
      <c r="A287" t="str">
        <f>"0611860464050"</f>
        <v>0611860464050</v>
      </c>
      <c r="B287" t="str">
        <f>"CR4164"</f>
        <v>CR4164</v>
      </c>
      <c r="C287" t="s">
        <v>264</v>
      </c>
    </row>
    <row r="288" spans="1:3" x14ac:dyDescent="0.25">
      <c r="A288" t="str">
        <f>"0611860465050"</f>
        <v>0611860465050</v>
      </c>
      <c r="B288" t="str">
        <f>"CR4165"</f>
        <v>CR4165</v>
      </c>
      <c r="C288" t="s">
        <v>265</v>
      </c>
    </row>
    <row r="289" spans="1:3" x14ac:dyDescent="0.25">
      <c r="A289" t="str">
        <f>"0611906637100"</f>
        <v>0611906637100</v>
      </c>
      <c r="B289" t="str">
        <f>"LK7204"</f>
        <v>LK7204</v>
      </c>
      <c r="C289" t="s">
        <v>266</v>
      </c>
    </row>
    <row r="290" spans="1:3" x14ac:dyDescent="0.25">
      <c r="A290" t="str">
        <f>"0611860466050"</f>
        <v>0611860466050</v>
      </c>
      <c r="B290" t="str">
        <f>"CR4166"</f>
        <v>CR4166</v>
      </c>
      <c r="C290" t="s">
        <v>267</v>
      </c>
    </row>
    <row r="291" spans="1:3" x14ac:dyDescent="0.25">
      <c r="A291" t="str">
        <f>"0611860467050"</f>
        <v>0611860467050</v>
      </c>
      <c r="B291" t="str">
        <f>"CR4167"</f>
        <v>CR4167</v>
      </c>
      <c r="C291" t="s">
        <v>268</v>
      </c>
    </row>
    <row r="292" spans="1:3" x14ac:dyDescent="0.25">
      <c r="A292" t="str">
        <f>"0611860468050"</f>
        <v>0611860468050</v>
      </c>
      <c r="B292" t="str">
        <f>"CR4168"</f>
        <v>CR4168</v>
      </c>
      <c r="C292" t="s">
        <v>269</v>
      </c>
    </row>
    <row r="293" spans="1:3" x14ac:dyDescent="0.25">
      <c r="A293" t="str">
        <f>"0611860469050"</f>
        <v>0611860469050</v>
      </c>
      <c r="B293" t="str">
        <f>"CR4169"</f>
        <v>CR4169</v>
      </c>
      <c r="C293" t="s">
        <v>270</v>
      </c>
    </row>
    <row r="294" spans="1:3" x14ac:dyDescent="0.25">
      <c r="A294" t="str">
        <f>"0611860470050"</f>
        <v>0611860470050</v>
      </c>
      <c r="B294" t="str">
        <f>"CR4170"</f>
        <v>CR4170</v>
      </c>
      <c r="C294" t="s">
        <v>271</v>
      </c>
    </row>
    <row r="295" spans="1:3" x14ac:dyDescent="0.25">
      <c r="A295" t="str">
        <f>"0611860471050"</f>
        <v>0611860471050</v>
      </c>
      <c r="B295" t="str">
        <f>"CR4171"</f>
        <v>CR4171</v>
      </c>
      <c r="C295" t="s">
        <v>272</v>
      </c>
    </row>
    <row r="296" spans="1:3" x14ac:dyDescent="0.25">
      <c r="A296" t="str">
        <f>"0611860472050"</f>
        <v>0611860472050</v>
      </c>
      <c r="B296" t="str">
        <f>"CR4172"</f>
        <v>CR4172</v>
      </c>
      <c r="C296" t="s">
        <v>273</v>
      </c>
    </row>
    <row r="297" spans="1:3" x14ac:dyDescent="0.25">
      <c r="A297" t="str">
        <f>"0611860473050"</f>
        <v>0611860473050</v>
      </c>
      <c r="B297" t="str">
        <f>"CR4180"</f>
        <v>CR4180</v>
      </c>
      <c r="C297" t="s">
        <v>274</v>
      </c>
    </row>
    <row r="298" spans="1:3" x14ac:dyDescent="0.25">
      <c r="A298" t="str">
        <f>"0611860474050"</f>
        <v>0611860474050</v>
      </c>
      <c r="B298" t="str">
        <f>"CR4181"</f>
        <v>CR4181</v>
      </c>
      <c r="C298" t="s">
        <v>275</v>
      </c>
    </row>
    <row r="299" spans="1:3" x14ac:dyDescent="0.25">
      <c r="A299" t="str">
        <f>"0611860475050"</f>
        <v>0611860475050</v>
      </c>
      <c r="B299" t="str">
        <f>"CR4177"</f>
        <v>CR4177</v>
      </c>
      <c r="C299" t="s">
        <v>276</v>
      </c>
    </row>
    <row r="300" spans="1:3" x14ac:dyDescent="0.25">
      <c r="A300" t="str">
        <f>"0611860476050"</f>
        <v>0611860476050</v>
      </c>
      <c r="B300" t="str">
        <f>"CR4178"</f>
        <v>CR4178</v>
      </c>
      <c r="C300" t="s">
        <v>277</v>
      </c>
    </row>
    <row r="301" spans="1:3" x14ac:dyDescent="0.25">
      <c r="A301" t="str">
        <f>"0611860477050"</f>
        <v>0611860477050</v>
      </c>
      <c r="B301" t="str">
        <f>"CR4182"</f>
        <v>CR4182</v>
      </c>
      <c r="C301" t="s">
        <v>278</v>
      </c>
    </row>
    <row r="302" spans="1:3" x14ac:dyDescent="0.25">
      <c r="A302" t="str">
        <f>"0611860478050"</f>
        <v>0611860478050</v>
      </c>
      <c r="B302" t="str">
        <f>"CR4183"</f>
        <v>CR4183</v>
      </c>
      <c r="C302" t="s">
        <v>279</v>
      </c>
    </row>
    <row r="303" spans="1:3" x14ac:dyDescent="0.25">
      <c r="A303" t="str">
        <f>"0611860479050"</f>
        <v>0611860479050</v>
      </c>
      <c r="B303" t="str">
        <f>"CR4184"</f>
        <v>CR4184</v>
      </c>
      <c r="C303" t="s">
        <v>280</v>
      </c>
    </row>
    <row r="304" spans="1:3" x14ac:dyDescent="0.25">
      <c r="A304" t="str">
        <f>"0611906638100"</f>
        <v>0611906638100</v>
      </c>
      <c r="B304" t="str">
        <f>"LK7205"</f>
        <v>LK7205</v>
      </c>
      <c r="C304" t="s">
        <v>285</v>
      </c>
    </row>
    <row r="305" spans="1:3" x14ac:dyDescent="0.25">
      <c r="A305" t="str">
        <f>"0611860480050"</f>
        <v>0611860480050</v>
      </c>
      <c r="B305" t="str">
        <f>"CR4185"</f>
        <v>CR4185</v>
      </c>
      <c r="C305" t="s">
        <v>281</v>
      </c>
    </row>
    <row r="306" spans="1:3" x14ac:dyDescent="0.25">
      <c r="A306" t="str">
        <f>"0611860481050"</f>
        <v>0611860481050</v>
      </c>
      <c r="B306" t="str">
        <f>"CR4186"</f>
        <v>CR4186</v>
      </c>
      <c r="C306" t="s">
        <v>282</v>
      </c>
    </row>
    <row r="307" spans="1:3" x14ac:dyDescent="0.25">
      <c r="A307" t="str">
        <f>"0611860482050"</f>
        <v>0611860482050</v>
      </c>
      <c r="B307" t="str">
        <f>"CR4179"</f>
        <v>CR4179</v>
      </c>
      <c r="C307" t="s">
        <v>283</v>
      </c>
    </row>
    <row r="308" spans="1:3" x14ac:dyDescent="0.25">
      <c r="A308" t="str">
        <f>"0611860483050"</f>
        <v>0611860483050</v>
      </c>
      <c r="B308" t="str">
        <f>"CR4188"</f>
        <v>CR4188</v>
      </c>
      <c r="C308" t="s">
        <v>284</v>
      </c>
    </row>
    <row r="309" spans="1:3" x14ac:dyDescent="0.25">
      <c r="A309" t="str">
        <f>"0611860484050"</f>
        <v>0611860484050</v>
      </c>
      <c r="B309" t="str">
        <f>"CR4173"</f>
        <v>CR4173</v>
      </c>
      <c r="C309" t="s">
        <v>286</v>
      </c>
    </row>
    <row r="310" spans="1:3" x14ac:dyDescent="0.25">
      <c r="A310" t="str">
        <f>"0611860485050"</f>
        <v>0611860485050</v>
      </c>
      <c r="B310" t="str">
        <f>"CR4174"</f>
        <v>CR4174</v>
      </c>
      <c r="C310" t="s">
        <v>287</v>
      </c>
    </row>
    <row r="311" spans="1:3" x14ac:dyDescent="0.25">
      <c r="A311" t="str">
        <f>"0611860486050"</f>
        <v>0611860486050</v>
      </c>
      <c r="B311" t="str">
        <f>"CR4187"</f>
        <v>CR4187</v>
      </c>
      <c r="C311" t="s">
        <v>288</v>
      </c>
    </row>
    <row r="312" spans="1:3" x14ac:dyDescent="0.25">
      <c r="A312" t="str">
        <f>"0611860487050"</f>
        <v>0611860487050</v>
      </c>
      <c r="B312" t="str">
        <f>"CR4175"</f>
        <v>CR4175</v>
      </c>
      <c r="C312" t="s">
        <v>289</v>
      </c>
    </row>
    <row r="313" spans="1:3" x14ac:dyDescent="0.25">
      <c r="A313" t="str">
        <f>"0611860488050"</f>
        <v>0611860488050</v>
      </c>
      <c r="B313" t="str">
        <f>"CR4176"</f>
        <v>CR4176</v>
      </c>
      <c r="C313" t="s">
        <v>290</v>
      </c>
    </row>
    <row r="314" spans="1:3" x14ac:dyDescent="0.25">
      <c r="A314" t="str">
        <f>"0611830679100"</f>
        <v>0611830679100</v>
      </c>
      <c r="B314" t="str">
        <f>"LS0002"</f>
        <v>LS0002</v>
      </c>
      <c r="C314" t="s">
        <v>296</v>
      </c>
    </row>
    <row r="315" spans="1:3" x14ac:dyDescent="0.25">
      <c r="A315" t="str">
        <f>"0611830675100"</f>
        <v>0611830675100</v>
      </c>
      <c r="B315" t="str">
        <f>"LK4433"</f>
        <v>LK4433</v>
      </c>
      <c r="C315" t="s">
        <v>291</v>
      </c>
    </row>
    <row r="316" spans="1:3" x14ac:dyDescent="0.25">
      <c r="A316" t="str">
        <f>"0611860489050"</f>
        <v>0611860489050</v>
      </c>
      <c r="B316" t="str">
        <f>"CR2808"</f>
        <v>CR2808</v>
      </c>
      <c r="C316" t="s">
        <v>292</v>
      </c>
    </row>
    <row r="317" spans="1:3" x14ac:dyDescent="0.25">
      <c r="A317" t="str">
        <f>"0611830676100"</f>
        <v>0611830676100</v>
      </c>
      <c r="B317" t="str">
        <f>"LK2511"</f>
        <v>LK2511</v>
      </c>
      <c r="C317" t="s">
        <v>293</v>
      </c>
    </row>
    <row r="318" spans="1:3" x14ac:dyDescent="0.25">
      <c r="A318" t="str">
        <f>"0611830677100"</f>
        <v>0611830677100</v>
      </c>
      <c r="B318" t="str">
        <f>"LK5994"</f>
        <v>LK5994</v>
      </c>
      <c r="C318" t="s">
        <v>294</v>
      </c>
    </row>
    <row r="319" spans="1:3" x14ac:dyDescent="0.25">
      <c r="A319" t="str">
        <f>"0611830678100"</f>
        <v>0611830678100</v>
      </c>
      <c r="B319" t="str">
        <f>"LQ3373"</f>
        <v>LQ3373</v>
      </c>
      <c r="C319" t="s">
        <v>295</v>
      </c>
    </row>
    <row r="320" spans="1:3" x14ac:dyDescent="0.25">
      <c r="A320" t="str">
        <f>"0611830680100"</f>
        <v>0611830680100</v>
      </c>
      <c r="B320" t="str">
        <f>"LK1714"</f>
        <v>LK1714</v>
      </c>
      <c r="C320" t="s">
        <v>297</v>
      </c>
    </row>
    <row r="321" spans="1:3" x14ac:dyDescent="0.25">
      <c r="A321" t="str">
        <f>"0611830681100"</f>
        <v>0611830681100</v>
      </c>
      <c r="B321" t="str">
        <f>"LK2513"</f>
        <v>LK2513</v>
      </c>
      <c r="C321" t="s">
        <v>298</v>
      </c>
    </row>
    <row r="322" spans="1:3" x14ac:dyDescent="0.25">
      <c r="A322" t="str">
        <f>"0611830684100"</f>
        <v>0611830684100</v>
      </c>
      <c r="B322" t="str">
        <f>"LK5683"</f>
        <v>LK5683</v>
      </c>
      <c r="C322" t="s">
        <v>299</v>
      </c>
    </row>
    <row r="323" spans="1:3" x14ac:dyDescent="0.25">
      <c r="A323" t="str">
        <f>"0611860490050"</f>
        <v>0611860490050</v>
      </c>
      <c r="B323" t="str">
        <f>"CR3282"</f>
        <v>CR3282</v>
      </c>
      <c r="C323" t="s">
        <v>300</v>
      </c>
    </row>
    <row r="324" spans="1:3" x14ac:dyDescent="0.25">
      <c r="A324" t="str">
        <f>"0611860491050"</f>
        <v>0611860491050</v>
      </c>
      <c r="B324" t="str">
        <f>"CR2605"</f>
        <v>CR2605</v>
      </c>
      <c r="C324" t="s">
        <v>301</v>
      </c>
    </row>
    <row r="325" spans="1:3" x14ac:dyDescent="0.25">
      <c r="A325" t="str">
        <f>"0611830685100"</f>
        <v>0611830685100</v>
      </c>
      <c r="B325" t="str">
        <f>"LK0594"</f>
        <v>LK0594</v>
      </c>
      <c r="C325" t="s">
        <v>302</v>
      </c>
    </row>
    <row r="326" spans="1:3" x14ac:dyDescent="0.25">
      <c r="A326" t="str">
        <f>"0611830686100"</f>
        <v>0611830686100</v>
      </c>
      <c r="B326" t="str">
        <f>"LK6016"</f>
        <v>LK6016</v>
      </c>
      <c r="C326" t="s">
        <v>303</v>
      </c>
    </row>
    <row r="327" spans="1:3" x14ac:dyDescent="0.25">
      <c r="A327" t="str">
        <f>"0611830687100"</f>
        <v>0611830687100</v>
      </c>
      <c r="B327" t="str">
        <f>"LK2514"</f>
        <v>LK2514</v>
      </c>
      <c r="C327" t="s">
        <v>304</v>
      </c>
    </row>
    <row r="328" spans="1:3" x14ac:dyDescent="0.25">
      <c r="A328" t="str">
        <f>"0611860492050"</f>
        <v>0611860492050</v>
      </c>
      <c r="B328" t="str">
        <f>"CR3057"</f>
        <v>CR3057</v>
      </c>
      <c r="C328" t="s">
        <v>305</v>
      </c>
    </row>
    <row r="329" spans="1:3" x14ac:dyDescent="0.25">
      <c r="A329" t="str">
        <f>"0611830688100"</f>
        <v>0611830688100</v>
      </c>
      <c r="B329" t="str">
        <f>"LK6225"</f>
        <v>LK6225</v>
      </c>
      <c r="C329" t="s">
        <v>306</v>
      </c>
    </row>
    <row r="330" spans="1:3" x14ac:dyDescent="0.25">
      <c r="A330" t="str">
        <f>"0611860493050"</f>
        <v>0611860493050</v>
      </c>
      <c r="B330" t="str">
        <f>"CR3309"</f>
        <v>CR3309</v>
      </c>
      <c r="C330" t="s">
        <v>307</v>
      </c>
    </row>
    <row r="331" spans="1:3" x14ac:dyDescent="0.25">
      <c r="A331" t="str">
        <f>"0611830690025"</f>
        <v>0611830690025</v>
      </c>
      <c r="B331" t="str">
        <f>"MC0033"</f>
        <v>MC0033</v>
      </c>
      <c r="C331" t="s">
        <v>308</v>
      </c>
    </row>
    <row r="332" spans="1:3" x14ac:dyDescent="0.25">
      <c r="A332" t="str">
        <f>"0611830691025"</f>
        <v>0611830691025</v>
      </c>
      <c r="B332" t="str">
        <f>"MC3685"</f>
        <v>MC3685</v>
      </c>
      <c r="C332" t="s">
        <v>309</v>
      </c>
    </row>
    <row r="333" spans="1:3" x14ac:dyDescent="0.25">
      <c r="A333" t="str">
        <f>"0611830692025"</f>
        <v>0611830692025</v>
      </c>
      <c r="B333" t="str">
        <f>"MQ3117"</f>
        <v>MQ3117</v>
      </c>
      <c r="C333" t="s">
        <v>310</v>
      </c>
    </row>
    <row r="334" spans="1:3" x14ac:dyDescent="0.25">
      <c r="A334" t="str">
        <f>"0611860494050"</f>
        <v>0611860494050</v>
      </c>
      <c r="B334" t="str">
        <f>"CR4189"</f>
        <v>CR4189</v>
      </c>
      <c r="C334" t="s">
        <v>311</v>
      </c>
    </row>
    <row r="335" spans="1:3" x14ac:dyDescent="0.25">
      <c r="A335" t="str">
        <f>"0611830694025"</f>
        <v>0611830694025</v>
      </c>
      <c r="B335" t="str">
        <f>"MC3881"</f>
        <v>MC3881</v>
      </c>
      <c r="C335" t="s">
        <v>312</v>
      </c>
    </row>
    <row r="336" spans="1:3" x14ac:dyDescent="0.25">
      <c r="A336" t="str">
        <f>"0611856816100"</f>
        <v>0611856816100</v>
      </c>
      <c r="B336" t="str">
        <f>"LB0531"</f>
        <v>LB0531</v>
      </c>
      <c r="C336" t="s">
        <v>313</v>
      </c>
    </row>
    <row r="337" spans="1:3" x14ac:dyDescent="0.25">
      <c r="A337" t="str">
        <f>"0611856817100"</f>
        <v>0611856817100</v>
      </c>
      <c r="B337" t="str">
        <f>"LQ6257"</f>
        <v>LQ6257</v>
      </c>
      <c r="C337" t="s">
        <v>314</v>
      </c>
    </row>
    <row r="338" spans="1:3" x14ac:dyDescent="0.25">
      <c r="A338" t="str">
        <f>"0611856818100"</f>
        <v>0611856818100</v>
      </c>
      <c r="B338" t="str">
        <f>"LQ6258"</f>
        <v>LQ6258</v>
      </c>
      <c r="C338" t="s">
        <v>315</v>
      </c>
    </row>
    <row r="339" spans="1:3" x14ac:dyDescent="0.25">
      <c r="A339" t="str">
        <f>"0611830696100"</f>
        <v>0611830696100</v>
      </c>
      <c r="B339" t="str">
        <f>"LK5673"</f>
        <v>LK5673</v>
      </c>
      <c r="C339" t="s">
        <v>316</v>
      </c>
    </row>
    <row r="340" spans="1:3" x14ac:dyDescent="0.25">
      <c r="A340" t="str">
        <f>"0611830697100"</f>
        <v>0611830697100</v>
      </c>
      <c r="B340" t="str">
        <f>"LB0619"</f>
        <v>LB0619</v>
      </c>
      <c r="C340" t="s">
        <v>317</v>
      </c>
    </row>
    <row r="341" spans="1:3" x14ac:dyDescent="0.25">
      <c r="A341" t="str">
        <f>"0611830695100"</f>
        <v>0611830695100</v>
      </c>
      <c r="B341" t="str">
        <f>"LB0615"</f>
        <v>LB0615</v>
      </c>
      <c r="C341" t="s">
        <v>318</v>
      </c>
    </row>
    <row r="342" spans="1:3" x14ac:dyDescent="0.25">
      <c r="A342" t="str">
        <f>"0611830698100"</f>
        <v>0611830698100</v>
      </c>
      <c r="B342" t="str">
        <f>"LB0617"</f>
        <v>LB0617</v>
      </c>
      <c r="C342" t="s">
        <v>319</v>
      </c>
    </row>
    <row r="343" spans="1:3" x14ac:dyDescent="0.25">
      <c r="A343" t="str">
        <f>"0611830700100"</f>
        <v>0611830700100</v>
      </c>
      <c r="B343" t="str">
        <f>"LB0616"</f>
        <v>LB0616</v>
      </c>
      <c r="C343" t="s">
        <v>320</v>
      </c>
    </row>
    <row r="344" spans="1:3" x14ac:dyDescent="0.25">
      <c r="A344" t="str">
        <f>"0611830701100"</f>
        <v>0611830701100</v>
      </c>
      <c r="B344" t="str">
        <f>"LK6017"</f>
        <v>LK6017</v>
      </c>
      <c r="C344" t="s">
        <v>321</v>
      </c>
    </row>
    <row r="345" spans="1:3" x14ac:dyDescent="0.25">
      <c r="A345" t="str">
        <f>"0611835297100"</f>
        <v>0611835297100</v>
      </c>
      <c r="B345" t="str">
        <f>"LG0250"</f>
        <v>LG0250</v>
      </c>
      <c r="C345" t="s">
        <v>322</v>
      </c>
    </row>
    <row r="346" spans="1:3" x14ac:dyDescent="0.25">
      <c r="A346" t="str">
        <f>"0611830702025"</f>
        <v>0611830702025</v>
      </c>
      <c r="B346" t="str">
        <f>"MC3384"</f>
        <v>MC3384</v>
      </c>
      <c r="C346" t="s">
        <v>323</v>
      </c>
    </row>
    <row r="347" spans="1:3" x14ac:dyDescent="0.25">
      <c r="A347" t="str">
        <f>"0611830703025"</f>
        <v>0611830703025</v>
      </c>
      <c r="B347" t="str">
        <f>"MC1769"</f>
        <v>MC1769</v>
      </c>
      <c r="C347" t="s">
        <v>324</v>
      </c>
    </row>
    <row r="348" spans="1:3" x14ac:dyDescent="0.25">
      <c r="A348" t="str">
        <f>"0611830704025"</f>
        <v>0611830704025</v>
      </c>
      <c r="B348" t="str">
        <f>"MC0034"</f>
        <v>MC0034</v>
      </c>
      <c r="C348" t="s">
        <v>325</v>
      </c>
    </row>
    <row r="349" spans="1:3" x14ac:dyDescent="0.25">
      <c r="A349" t="str">
        <f>"0611830706100"</f>
        <v>0611830706100</v>
      </c>
      <c r="B349" t="str">
        <f>"LK2515"</f>
        <v>LK2515</v>
      </c>
      <c r="C349" t="s">
        <v>326</v>
      </c>
    </row>
    <row r="350" spans="1:3" x14ac:dyDescent="0.25">
      <c r="A350" t="str">
        <f>"0611830707025"</f>
        <v>0611830707025</v>
      </c>
      <c r="B350" t="str">
        <f>"MC2541"</f>
        <v>MC2541</v>
      </c>
      <c r="C350" t="s">
        <v>327</v>
      </c>
    </row>
    <row r="351" spans="1:3" x14ac:dyDescent="0.25">
      <c r="A351" t="str">
        <f>"0611830708025"</f>
        <v>0611830708025</v>
      </c>
      <c r="B351" t="str">
        <f>"MC0036"</f>
        <v>MC0036</v>
      </c>
      <c r="C351" t="s">
        <v>328</v>
      </c>
    </row>
    <row r="352" spans="1:3" x14ac:dyDescent="0.25">
      <c r="A352" t="str">
        <f>"0611830709025"</f>
        <v>0611830709025</v>
      </c>
      <c r="B352" t="str">
        <f>"MC2715"</f>
        <v>MC2715</v>
      </c>
      <c r="C352" t="s">
        <v>329</v>
      </c>
    </row>
    <row r="353" spans="1:3" x14ac:dyDescent="0.25">
      <c r="A353" t="str">
        <f>"0611830710100"</f>
        <v>0611830710100</v>
      </c>
      <c r="B353" t="str">
        <f>"LK0074"</f>
        <v>LK0074</v>
      </c>
      <c r="C353" t="s">
        <v>330</v>
      </c>
    </row>
    <row r="354" spans="1:3" x14ac:dyDescent="0.25">
      <c r="A354" t="str">
        <f>"0611830711100"</f>
        <v>0611830711100</v>
      </c>
      <c r="B354" t="str">
        <f>"LG1007"</f>
        <v>LG1007</v>
      </c>
      <c r="C354" t="s">
        <v>331</v>
      </c>
    </row>
    <row r="355" spans="1:3" x14ac:dyDescent="0.25">
      <c r="A355" t="str">
        <f>"0611830712100"</f>
        <v>0611830712100</v>
      </c>
      <c r="B355" t="str">
        <f>"LG8024"</f>
        <v>LG8024</v>
      </c>
      <c r="C355" t="s">
        <v>332</v>
      </c>
    </row>
    <row r="356" spans="1:3" x14ac:dyDescent="0.25">
      <c r="A356" t="str">
        <f>"0611830713025"</f>
        <v>0611830713025</v>
      </c>
      <c r="B356" t="str">
        <f>"MC1000"</f>
        <v>MC1000</v>
      </c>
      <c r="C356" t="s">
        <v>333</v>
      </c>
    </row>
    <row r="357" spans="1:3" x14ac:dyDescent="0.25">
      <c r="A357" t="str">
        <f>"0611830714100"</f>
        <v>0611830714100</v>
      </c>
      <c r="B357" t="str">
        <f>"LB0628"</f>
        <v>LB0628</v>
      </c>
      <c r="C357" t="s">
        <v>334</v>
      </c>
    </row>
    <row r="358" spans="1:3" x14ac:dyDescent="0.25">
      <c r="A358" t="str">
        <f>"0611906639025"</f>
        <v>0611906639025</v>
      </c>
      <c r="B358" t="str">
        <f>"MQ7028"</f>
        <v>MQ7028</v>
      </c>
      <c r="C358" t="s">
        <v>335</v>
      </c>
    </row>
    <row r="359" spans="1:3" x14ac:dyDescent="0.25">
      <c r="A359" t="str">
        <f>"0611906640025"</f>
        <v>0611906640025</v>
      </c>
      <c r="B359" t="str">
        <f>"MQ7029"</f>
        <v>MQ7029</v>
      </c>
      <c r="C359" t="s">
        <v>336</v>
      </c>
    </row>
    <row r="360" spans="1:3" x14ac:dyDescent="0.25">
      <c r="A360" t="str">
        <f>"0611906641025"</f>
        <v>0611906641025</v>
      </c>
      <c r="B360" t="str">
        <f>"MQ7030"</f>
        <v>MQ7030</v>
      </c>
      <c r="C360" t="s">
        <v>337</v>
      </c>
    </row>
    <row r="361" spans="1:3" x14ac:dyDescent="0.25">
      <c r="A361" t="str">
        <f>"0611906642025"</f>
        <v>0611906642025</v>
      </c>
      <c r="B361" t="str">
        <f>"MQ7218"</f>
        <v>MQ7218</v>
      </c>
      <c r="C361" t="s">
        <v>338</v>
      </c>
    </row>
    <row r="362" spans="1:3" x14ac:dyDescent="0.25">
      <c r="A362" t="str">
        <f>"0611830715025"</f>
        <v>0611830715025</v>
      </c>
      <c r="B362" t="str">
        <f>"MC0041"</f>
        <v>MC0041</v>
      </c>
      <c r="C362" t="s">
        <v>339</v>
      </c>
    </row>
    <row r="363" spans="1:3" x14ac:dyDescent="0.25">
      <c r="A363" t="str">
        <f>"0611830716025"</f>
        <v>0611830716025</v>
      </c>
      <c r="B363" t="str">
        <f>"MC1002"</f>
        <v>MC1002</v>
      </c>
      <c r="C363" t="s">
        <v>340</v>
      </c>
    </row>
    <row r="364" spans="1:3" x14ac:dyDescent="0.25">
      <c r="A364" t="str">
        <f>"0611830717025"</f>
        <v>0611830717025</v>
      </c>
      <c r="B364" t="str">
        <f>"MC0040"</f>
        <v>MC0040</v>
      </c>
      <c r="C364" t="s">
        <v>341</v>
      </c>
    </row>
    <row r="365" spans="1:3" x14ac:dyDescent="0.25">
      <c r="A365" t="str">
        <f>"0611830718025"</f>
        <v>0611830718025</v>
      </c>
      <c r="B365" t="str">
        <f>"MC4309"</f>
        <v>MC4309</v>
      </c>
      <c r="C365" t="s">
        <v>342</v>
      </c>
    </row>
    <row r="366" spans="1:3" x14ac:dyDescent="0.25">
      <c r="A366" t="str">
        <f>"0611830726100"</f>
        <v>0611830726100</v>
      </c>
      <c r="B366" t="str">
        <f>"LQ6135"</f>
        <v>LQ6135</v>
      </c>
      <c r="C366" t="s">
        <v>356</v>
      </c>
    </row>
    <row r="367" spans="1:3" x14ac:dyDescent="0.25">
      <c r="A367" t="str">
        <f>"0611830727100"</f>
        <v>0611830727100</v>
      </c>
      <c r="B367" t="str">
        <f>"LQ6184"</f>
        <v>LQ6184</v>
      </c>
      <c r="C367" t="s">
        <v>348</v>
      </c>
    </row>
    <row r="368" spans="1:3" x14ac:dyDescent="0.25">
      <c r="A368" t="str">
        <f>"0611830728100"</f>
        <v>0611830728100</v>
      </c>
      <c r="B368" t="str">
        <f>"LQ6185"</f>
        <v>LQ6185</v>
      </c>
      <c r="C368" t="s">
        <v>349</v>
      </c>
    </row>
    <row r="369" spans="1:3" x14ac:dyDescent="0.25">
      <c r="A369" t="str">
        <f>"0611830729100"</f>
        <v>0611830729100</v>
      </c>
      <c r="B369" t="str">
        <f>"LQ5991"</f>
        <v>LQ5991</v>
      </c>
      <c r="C369" t="s">
        <v>343</v>
      </c>
    </row>
    <row r="370" spans="1:3" x14ac:dyDescent="0.25">
      <c r="A370" t="str">
        <f>"0611883991100"</f>
        <v>0611883991100</v>
      </c>
      <c r="B370" t="str">
        <f>"LQ6287"</f>
        <v>LQ6287</v>
      </c>
      <c r="C370" t="s">
        <v>344</v>
      </c>
    </row>
    <row r="371" spans="1:3" x14ac:dyDescent="0.25">
      <c r="A371" t="str">
        <f>"0611830730100"</f>
        <v>0611830730100</v>
      </c>
      <c r="B371" t="str">
        <f>"LQ5908"</f>
        <v>LQ5908</v>
      </c>
      <c r="C371" t="s">
        <v>345</v>
      </c>
    </row>
    <row r="372" spans="1:3" x14ac:dyDescent="0.25">
      <c r="A372" t="str">
        <f>"0611883992100"</f>
        <v>0611883992100</v>
      </c>
      <c r="B372" t="str">
        <f>"LQ6288"</f>
        <v>LQ6288</v>
      </c>
      <c r="C372" t="s">
        <v>346</v>
      </c>
    </row>
    <row r="373" spans="1:3" x14ac:dyDescent="0.25">
      <c r="A373" t="str">
        <f>"0611830731100"</f>
        <v>0611830731100</v>
      </c>
      <c r="B373" t="str">
        <f>"LQ5821"</f>
        <v>LQ5821</v>
      </c>
      <c r="C373" t="s">
        <v>347</v>
      </c>
    </row>
    <row r="374" spans="1:3" x14ac:dyDescent="0.25">
      <c r="A374" t="str">
        <f>"0611830732100"</f>
        <v>0611830732100</v>
      </c>
      <c r="B374" t="str">
        <f>"LQ5822"</f>
        <v>LQ5822</v>
      </c>
      <c r="C374" t="s">
        <v>350</v>
      </c>
    </row>
    <row r="375" spans="1:3" x14ac:dyDescent="0.25">
      <c r="A375" t="str">
        <f>"0611830733100"</f>
        <v>0611830733100</v>
      </c>
      <c r="B375" t="str">
        <f>"LQ6186"</f>
        <v>LQ6186</v>
      </c>
      <c r="C375" t="s">
        <v>352</v>
      </c>
    </row>
    <row r="376" spans="1:3" x14ac:dyDescent="0.25">
      <c r="A376" t="str">
        <f>"0611830734100"</f>
        <v>0611830734100</v>
      </c>
      <c r="B376" t="str">
        <f>"LQ6086"</f>
        <v>LQ6086</v>
      </c>
      <c r="C376" t="s">
        <v>353</v>
      </c>
    </row>
    <row r="377" spans="1:3" x14ac:dyDescent="0.25">
      <c r="A377" t="str">
        <f>"0611883993100"</f>
        <v>0611883993100</v>
      </c>
      <c r="B377" t="str">
        <f>"LQ5492"</f>
        <v>LQ5492</v>
      </c>
      <c r="C377" t="s">
        <v>354</v>
      </c>
    </row>
    <row r="378" spans="1:3" x14ac:dyDescent="0.25">
      <c r="A378" t="str">
        <f>"0611830736100"</f>
        <v>0611830736100</v>
      </c>
      <c r="B378" t="str">
        <f>"LQ6087"</f>
        <v>LQ6087</v>
      </c>
      <c r="C378" t="s">
        <v>355</v>
      </c>
    </row>
    <row r="379" spans="1:3" x14ac:dyDescent="0.25">
      <c r="A379" t="str">
        <f>"0611830737100"</f>
        <v>0611830737100</v>
      </c>
      <c r="B379" t="str">
        <f>"LQ5909"</f>
        <v>LQ5909</v>
      </c>
      <c r="C379" t="s">
        <v>351</v>
      </c>
    </row>
    <row r="380" spans="1:3" x14ac:dyDescent="0.25">
      <c r="A380" t="str">
        <f>"0611830738100"</f>
        <v>0611830738100</v>
      </c>
      <c r="B380" t="str">
        <f>"LQ3812"</f>
        <v>LQ3812</v>
      </c>
      <c r="C380" t="s">
        <v>357</v>
      </c>
    </row>
    <row r="381" spans="1:3" x14ac:dyDescent="0.25">
      <c r="A381" t="str">
        <f>"0611830739100"</f>
        <v>0611830739100</v>
      </c>
      <c r="B381" t="str">
        <f>"LQ3813"</f>
        <v>LQ3813</v>
      </c>
      <c r="C381" t="s">
        <v>358</v>
      </c>
    </row>
    <row r="382" spans="1:3" x14ac:dyDescent="0.25">
      <c r="A382" t="str">
        <f>"0611830740100"</f>
        <v>0611830740100</v>
      </c>
      <c r="B382" t="str">
        <f>"LQ3814"</f>
        <v>LQ3814</v>
      </c>
      <c r="C382" t="s">
        <v>359</v>
      </c>
    </row>
    <row r="383" spans="1:3" x14ac:dyDescent="0.25">
      <c r="A383" t="str">
        <f>"0611860495050"</f>
        <v>0611860495050</v>
      </c>
      <c r="B383" t="str">
        <f>"CR4908"</f>
        <v>CR4908</v>
      </c>
      <c r="C383" t="s">
        <v>360</v>
      </c>
    </row>
    <row r="384" spans="1:3" x14ac:dyDescent="0.25">
      <c r="A384" t="str">
        <f>"0611860496050"</f>
        <v>0611860496050</v>
      </c>
      <c r="B384" t="str">
        <f>"CR4909"</f>
        <v>CR4909</v>
      </c>
      <c r="C384" t="s">
        <v>361</v>
      </c>
    </row>
    <row r="385" spans="1:3" x14ac:dyDescent="0.25">
      <c r="A385" t="str">
        <f>"0611860497050"</f>
        <v>0611860497050</v>
      </c>
      <c r="B385" t="str">
        <f>"CR4910"</f>
        <v>CR4910</v>
      </c>
      <c r="C385" t="s">
        <v>362</v>
      </c>
    </row>
    <row r="386" spans="1:3" x14ac:dyDescent="0.25">
      <c r="A386" t="str">
        <f>"0611860498050"</f>
        <v>0611860498050</v>
      </c>
      <c r="B386" t="str">
        <f>"CR3996"</f>
        <v>CR3996</v>
      </c>
      <c r="C386" t="s">
        <v>363</v>
      </c>
    </row>
    <row r="387" spans="1:3" x14ac:dyDescent="0.25">
      <c r="A387" t="str">
        <f>"0611883994050"</f>
        <v>0611883994050</v>
      </c>
      <c r="B387" t="str">
        <f>"CR5400"</f>
        <v>CR5400</v>
      </c>
      <c r="C387" t="s">
        <v>364</v>
      </c>
    </row>
    <row r="388" spans="1:3" x14ac:dyDescent="0.25">
      <c r="A388" t="str">
        <f>"0611860499050"</f>
        <v>0611860499050</v>
      </c>
      <c r="B388" t="str">
        <f>"CR3997"</f>
        <v>CR3997</v>
      </c>
      <c r="C388" t="s">
        <v>365</v>
      </c>
    </row>
    <row r="389" spans="1:3" x14ac:dyDescent="0.25">
      <c r="A389" t="str">
        <f>"0611860500050"</f>
        <v>0611860500050</v>
      </c>
      <c r="B389" t="str">
        <f>"CR3998"</f>
        <v>CR3998</v>
      </c>
      <c r="C389" t="s">
        <v>366</v>
      </c>
    </row>
    <row r="390" spans="1:3" x14ac:dyDescent="0.25">
      <c r="A390" t="str">
        <f>"0611860501050"</f>
        <v>0611860501050</v>
      </c>
      <c r="B390" t="str">
        <f>"CR3999"</f>
        <v>CR3999</v>
      </c>
      <c r="C390" t="s">
        <v>367</v>
      </c>
    </row>
    <row r="391" spans="1:3" x14ac:dyDescent="0.25">
      <c r="A391" t="str">
        <f>"0611860502050"</f>
        <v>0611860502050</v>
      </c>
      <c r="B391" t="str">
        <f>"CE0842"</f>
        <v>CE0842</v>
      </c>
      <c r="C391" t="s">
        <v>368</v>
      </c>
    </row>
    <row r="392" spans="1:3" x14ac:dyDescent="0.25">
      <c r="A392" t="str">
        <f>"0611860503050"</f>
        <v>0611860503050</v>
      </c>
      <c r="B392" t="str">
        <f>"CE0808"</f>
        <v>CE0808</v>
      </c>
      <c r="C392" t="s">
        <v>369</v>
      </c>
    </row>
    <row r="393" spans="1:3" x14ac:dyDescent="0.25">
      <c r="A393" t="str">
        <f>"0611860504050"</f>
        <v>0611860504050</v>
      </c>
      <c r="B393" t="str">
        <f>"CE0841"</f>
        <v>CE0841</v>
      </c>
      <c r="C393" t="s">
        <v>370</v>
      </c>
    </row>
    <row r="394" spans="1:3" x14ac:dyDescent="0.25">
      <c r="A394" t="str">
        <f>"0611860505050"</f>
        <v>0611860505050</v>
      </c>
      <c r="B394" t="str">
        <f>"CE0758"</f>
        <v>CE0758</v>
      </c>
      <c r="C394" t="s">
        <v>371</v>
      </c>
    </row>
    <row r="395" spans="1:3" x14ac:dyDescent="0.25">
      <c r="A395" t="str">
        <f>"0611860506050"</f>
        <v>0611860506050</v>
      </c>
      <c r="B395" t="str">
        <f>"CE0759"</f>
        <v>CE0759</v>
      </c>
      <c r="C395" t="s">
        <v>372</v>
      </c>
    </row>
    <row r="396" spans="1:3" x14ac:dyDescent="0.25">
      <c r="A396" t="str">
        <f>"0611860507050"</f>
        <v>0611860507050</v>
      </c>
      <c r="B396" t="str">
        <f>"CE0760"</f>
        <v>CE0760</v>
      </c>
      <c r="C396" t="s">
        <v>373</v>
      </c>
    </row>
    <row r="397" spans="1:3" x14ac:dyDescent="0.25">
      <c r="A397" t="str">
        <f>"0611830741100"</f>
        <v>0611830741100</v>
      </c>
      <c r="B397" t="str">
        <f>"LK1085"</f>
        <v>LK1085</v>
      </c>
      <c r="C397" t="s">
        <v>374</v>
      </c>
    </row>
    <row r="398" spans="1:3" x14ac:dyDescent="0.25">
      <c r="A398" t="str">
        <f>"0611830749100"</f>
        <v>0611830749100</v>
      </c>
      <c r="B398" t="str">
        <f>"LQ3815"</f>
        <v>LQ3815</v>
      </c>
      <c r="C398" t="s">
        <v>375</v>
      </c>
    </row>
    <row r="399" spans="1:3" x14ac:dyDescent="0.25">
      <c r="A399" t="str">
        <f>"0611830750100"</f>
        <v>0611830750100</v>
      </c>
      <c r="B399" t="str">
        <f>"LQ3816"</f>
        <v>LQ3816</v>
      </c>
      <c r="C399" t="s">
        <v>376</v>
      </c>
    </row>
    <row r="400" spans="1:3" x14ac:dyDescent="0.25">
      <c r="A400" t="str">
        <f>"0611830751100"</f>
        <v>0611830751100</v>
      </c>
      <c r="B400" t="str">
        <f>"LQ3817"</f>
        <v>LQ3817</v>
      </c>
      <c r="C400" t="s">
        <v>377</v>
      </c>
    </row>
    <row r="401" spans="1:3" x14ac:dyDescent="0.25">
      <c r="A401" t="str">
        <f>"0611830752100"</f>
        <v>0611830752100</v>
      </c>
      <c r="B401" t="str">
        <f>"LQ3818"</f>
        <v>LQ3818</v>
      </c>
      <c r="C401" t="s">
        <v>378</v>
      </c>
    </row>
    <row r="402" spans="1:3" x14ac:dyDescent="0.25">
      <c r="A402" t="str">
        <f>"0611830753100"</f>
        <v>0611830753100</v>
      </c>
      <c r="B402" t="str">
        <f>"LQ3819"</f>
        <v>LQ3819</v>
      </c>
      <c r="C402" t="s">
        <v>379</v>
      </c>
    </row>
    <row r="403" spans="1:3" x14ac:dyDescent="0.25">
      <c r="A403" t="str">
        <f>"0611830754100"</f>
        <v>0611830754100</v>
      </c>
      <c r="B403" t="str">
        <f>"LQ3820"</f>
        <v>LQ3820</v>
      </c>
      <c r="C403" t="s">
        <v>380</v>
      </c>
    </row>
    <row r="404" spans="1:3" x14ac:dyDescent="0.25">
      <c r="A404" t="str">
        <f>"0611830755100"</f>
        <v>0611830755100</v>
      </c>
      <c r="B404" t="str">
        <f>"LQ3821"</f>
        <v>LQ3821</v>
      </c>
      <c r="C404" t="s">
        <v>381</v>
      </c>
    </row>
    <row r="405" spans="1:3" x14ac:dyDescent="0.25">
      <c r="A405" t="str">
        <f>"0611830756100"</f>
        <v>0611830756100</v>
      </c>
      <c r="B405" t="str">
        <f>"LK4783"</f>
        <v>LK4783</v>
      </c>
      <c r="C405" t="s">
        <v>382</v>
      </c>
    </row>
    <row r="406" spans="1:3" x14ac:dyDescent="0.25">
      <c r="A406" t="str">
        <f>"0611830757100"</f>
        <v>0611830757100</v>
      </c>
      <c r="B406" t="str">
        <f>"LK1942"</f>
        <v>LK1942</v>
      </c>
      <c r="C406" t="s">
        <v>383</v>
      </c>
    </row>
    <row r="407" spans="1:3" x14ac:dyDescent="0.25">
      <c r="A407" t="str">
        <f>"0611830758100"</f>
        <v>0611830758100</v>
      </c>
      <c r="B407" t="str">
        <f>"LK1943"</f>
        <v>LK1943</v>
      </c>
      <c r="C407" t="s">
        <v>384</v>
      </c>
    </row>
    <row r="408" spans="1:3" x14ac:dyDescent="0.25">
      <c r="A408" t="str">
        <f>"0611830759100"</f>
        <v>0611830759100</v>
      </c>
      <c r="B408" t="str">
        <f>"LK1944"</f>
        <v>LK1944</v>
      </c>
      <c r="C408" t="s">
        <v>385</v>
      </c>
    </row>
    <row r="409" spans="1:3" x14ac:dyDescent="0.25">
      <c r="A409" t="str">
        <f>"0611830760100"</f>
        <v>0611830760100</v>
      </c>
      <c r="B409" t="str">
        <f>"LK1945"</f>
        <v>LK1945</v>
      </c>
      <c r="C409" t="s">
        <v>386</v>
      </c>
    </row>
    <row r="410" spans="1:3" x14ac:dyDescent="0.25">
      <c r="A410" t="str">
        <f>"0611830761100"</f>
        <v>0611830761100</v>
      </c>
      <c r="B410" t="str">
        <f>"LK6536"</f>
        <v>LK6536</v>
      </c>
      <c r="C410" t="s">
        <v>387</v>
      </c>
    </row>
    <row r="411" spans="1:3" x14ac:dyDescent="0.25">
      <c r="A411" t="str">
        <f>"0611830762100"</f>
        <v>0611830762100</v>
      </c>
      <c r="B411" t="str">
        <f>"LK4784"</f>
        <v>LK4784</v>
      </c>
      <c r="C411" t="s">
        <v>388</v>
      </c>
    </row>
    <row r="412" spans="1:3" x14ac:dyDescent="0.25">
      <c r="A412" t="str">
        <f>"0611830763100"</f>
        <v>0611830763100</v>
      </c>
      <c r="B412" t="str">
        <f>"LK1946"</f>
        <v>LK1946</v>
      </c>
      <c r="C412" t="s">
        <v>389</v>
      </c>
    </row>
    <row r="413" spans="1:3" x14ac:dyDescent="0.25">
      <c r="A413" t="str">
        <f>"0611830764100"</f>
        <v>0611830764100</v>
      </c>
      <c r="B413" t="str">
        <f>"LK6839"</f>
        <v>LK6839</v>
      </c>
      <c r="C413" t="s">
        <v>390</v>
      </c>
    </row>
    <row r="414" spans="1:3" x14ac:dyDescent="0.25">
      <c r="A414" t="str">
        <f>"0611830765100"</f>
        <v>0611830765100</v>
      </c>
      <c r="B414" t="str">
        <f>"LK5688"</f>
        <v>LK5688</v>
      </c>
      <c r="C414" t="s">
        <v>391</v>
      </c>
    </row>
    <row r="415" spans="1:3" x14ac:dyDescent="0.25">
      <c r="A415" t="str">
        <f>"0611830766100"</f>
        <v>0611830766100</v>
      </c>
      <c r="B415" t="str">
        <f>"LK5689"</f>
        <v>LK5689</v>
      </c>
      <c r="C415" t="s">
        <v>392</v>
      </c>
    </row>
    <row r="416" spans="1:3" x14ac:dyDescent="0.25">
      <c r="A416" t="str">
        <f>"0611830767100"</f>
        <v>0611830767100</v>
      </c>
      <c r="B416" t="str">
        <f>"LK5544"</f>
        <v>LK5544</v>
      </c>
      <c r="C416" t="s">
        <v>393</v>
      </c>
    </row>
    <row r="417" spans="1:3" x14ac:dyDescent="0.25">
      <c r="A417" t="str">
        <f>"0611830768100"</f>
        <v>0611830768100</v>
      </c>
      <c r="B417" t="str">
        <f>"LK5690"</f>
        <v>LK5690</v>
      </c>
      <c r="C417" t="s">
        <v>394</v>
      </c>
    </row>
    <row r="418" spans="1:3" x14ac:dyDescent="0.25">
      <c r="A418" t="str">
        <f>"0611830769100"</f>
        <v>0611830769100</v>
      </c>
      <c r="B418" t="str">
        <f>"LK5691"</f>
        <v>LK5691</v>
      </c>
      <c r="C418" t="s">
        <v>395</v>
      </c>
    </row>
    <row r="419" spans="1:3" x14ac:dyDescent="0.25">
      <c r="A419" t="str">
        <f>"0611830770100"</f>
        <v>0611830770100</v>
      </c>
      <c r="B419" t="str">
        <f>"LK6591"</f>
        <v>LK6591</v>
      </c>
      <c r="C419" t="s">
        <v>396</v>
      </c>
    </row>
    <row r="420" spans="1:3" x14ac:dyDescent="0.25">
      <c r="A420" t="str">
        <f>"0611830771100"</f>
        <v>0611830771100</v>
      </c>
      <c r="B420" t="str">
        <f>"LK4948"</f>
        <v>LK4948</v>
      </c>
      <c r="C420" t="s">
        <v>397</v>
      </c>
    </row>
    <row r="421" spans="1:3" x14ac:dyDescent="0.25">
      <c r="A421" t="str">
        <f>"0611830772100"</f>
        <v>0611830772100</v>
      </c>
      <c r="B421" t="str">
        <f>"LK5692"</f>
        <v>LK5692</v>
      </c>
      <c r="C421" t="s">
        <v>398</v>
      </c>
    </row>
    <row r="422" spans="1:3" x14ac:dyDescent="0.25">
      <c r="A422" t="str">
        <f>"0611830773100"</f>
        <v>0611830773100</v>
      </c>
      <c r="B422" t="str">
        <f>"LK5693"</f>
        <v>LK5693</v>
      </c>
      <c r="C422" t="s">
        <v>399</v>
      </c>
    </row>
    <row r="423" spans="1:3" x14ac:dyDescent="0.25">
      <c r="A423" t="str">
        <f>"0611838495100"</f>
        <v>0611838495100</v>
      </c>
      <c r="B423" t="str">
        <f>"LC5106"</f>
        <v>LC5106</v>
      </c>
      <c r="C423" t="s">
        <v>400</v>
      </c>
    </row>
    <row r="424" spans="1:3" x14ac:dyDescent="0.25">
      <c r="A424" t="str">
        <f>"0611830775100"</f>
        <v>0611830775100</v>
      </c>
      <c r="B424" t="str">
        <f>"LK6018"</f>
        <v>LK6018</v>
      </c>
      <c r="C424" t="s">
        <v>401</v>
      </c>
    </row>
    <row r="425" spans="1:3" x14ac:dyDescent="0.25">
      <c r="A425" t="str">
        <f>"0611830776100"</f>
        <v>0611830776100</v>
      </c>
      <c r="B425" t="str">
        <f>"LQ9029"</f>
        <v>LQ9029</v>
      </c>
      <c r="C425" t="s">
        <v>402</v>
      </c>
    </row>
    <row r="426" spans="1:3" x14ac:dyDescent="0.25">
      <c r="A426" t="str">
        <f>"0611830778100"</f>
        <v>0611830778100</v>
      </c>
      <c r="B426" t="str">
        <f>"LS0004"</f>
        <v>LS0004</v>
      </c>
      <c r="C426" t="s">
        <v>404</v>
      </c>
    </row>
    <row r="427" spans="1:3" x14ac:dyDescent="0.25">
      <c r="A427" t="str">
        <f>"0611830777100"</f>
        <v>0611830777100</v>
      </c>
      <c r="B427" t="str">
        <f>"MB0300"</f>
        <v>MB0300</v>
      </c>
      <c r="C427" t="s">
        <v>403</v>
      </c>
    </row>
    <row r="428" spans="1:3" x14ac:dyDescent="0.25">
      <c r="A428" t="str">
        <f>"0611830779025"</f>
        <v>0611830779025</v>
      </c>
      <c r="B428" t="str">
        <f>"MC4063"</f>
        <v>MC4063</v>
      </c>
      <c r="C428" t="s">
        <v>405</v>
      </c>
    </row>
    <row r="429" spans="1:3" x14ac:dyDescent="0.25">
      <c r="A429" t="str">
        <f>"0611830780100"</f>
        <v>0611830780100</v>
      </c>
      <c r="B429" t="str">
        <f>"LC5480"</f>
        <v>LC5480</v>
      </c>
      <c r="C429" t="s">
        <v>406</v>
      </c>
    </row>
    <row r="430" spans="1:3" x14ac:dyDescent="0.25">
      <c r="A430" t="str">
        <f>"0611883995025"</f>
        <v>0611883995025</v>
      </c>
      <c r="B430" t="str">
        <f>"MC4468"</f>
        <v>MC4468</v>
      </c>
      <c r="C430" t="s">
        <v>407</v>
      </c>
    </row>
    <row r="431" spans="1:3" x14ac:dyDescent="0.25">
      <c r="A431" t="str">
        <f>"0611830781100"</f>
        <v>0611830781100</v>
      </c>
      <c r="B431" t="str">
        <f>"LG0300"</f>
        <v>LG0300</v>
      </c>
      <c r="C431" t="s">
        <v>408</v>
      </c>
    </row>
    <row r="432" spans="1:3" x14ac:dyDescent="0.25">
      <c r="A432" t="str">
        <f>"0611883996025"</f>
        <v>0611883996025</v>
      </c>
      <c r="B432" t="str">
        <f>"MC4452"</f>
        <v>MC4452</v>
      </c>
      <c r="C432" t="s">
        <v>409</v>
      </c>
    </row>
    <row r="433" spans="1:3" x14ac:dyDescent="0.25">
      <c r="A433" t="str">
        <f>"0611830950100"</f>
        <v>0611830950100</v>
      </c>
      <c r="B433" t="str">
        <f>"LK6198"</f>
        <v>LK6198</v>
      </c>
      <c r="C433" t="s">
        <v>410</v>
      </c>
    </row>
    <row r="434" spans="1:3" x14ac:dyDescent="0.25">
      <c r="A434" t="str">
        <f>"0611830951100"</f>
        <v>0611830951100</v>
      </c>
      <c r="B434" t="str">
        <f>"LH0681"</f>
        <v>LH0681</v>
      </c>
      <c r="C434" t="s">
        <v>411</v>
      </c>
    </row>
    <row r="435" spans="1:3" x14ac:dyDescent="0.25">
      <c r="A435" t="str">
        <f>"0611830952100"</f>
        <v>0611830952100</v>
      </c>
      <c r="B435" t="str">
        <f>"LK5553"</f>
        <v>LK5553</v>
      </c>
      <c r="C435" t="s">
        <v>412</v>
      </c>
    </row>
    <row r="436" spans="1:3" x14ac:dyDescent="0.25">
      <c r="A436" t="str">
        <f>"0611830953025"</f>
        <v>0611830953025</v>
      </c>
      <c r="B436" t="str">
        <f>"MC0061"</f>
        <v>MC0061</v>
      </c>
      <c r="C436" t="s">
        <v>413</v>
      </c>
    </row>
    <row r="437" spans="1:3" x14ac:dyDescent="0.25">
      <c r="A437" t="str">
        <f>"0611830954025"</f>
        <v>0611830954025</v>
      </c>
      <c r="B437" t="str">
        <f>"MC0053"</f>
        <v>MC0053</v>
      </c>
      <c r="C437" t="s">
        <v>414</v>
      </c>
    </row>
    <row r="438" spans="1:3" x14ac:dyDescent="0.25">
      <c r="A438" t="str">
        <f>"0611830955100"</f>
        <v>0611830955100</v>
      </c>
      <c r="B438" t="str">
        <f>"LH0939"</f>
        <v>LH0939</v>
      </c>
      <c r="C438" t="s">
        <v>415</v>
      </c>
    </row>
    <row r="439" spans="1:3" x14ac:dyDescent="0.25">
      <c r="A439" t="str">
        <f>"0611830956025"</f>
        <v>0611830956025</v>
      </c>
      <c r="B439" t="str">
        <f>"MC0044"</f>
        <v>MC0044</v>
      </c>
      <c r="C439" t="s">
        <v>416</v>
      </c>
    </row>
    <row r="440" spans="1:3" x14ac:dyDescent="0.25">
      <c r="A440" t="str">
        <f>"0611830957025"</f>
        <v>0611830957025</v>
      </c>
      <c r="B440" t="str">
        <f>"MC0062"</f>
        <v>MC0062</v>
      </c>
      <c r="C440" t="s">
        <v>417</v>
      </c>
    </row>
    <row r="441" spans="1:3" x14ac:dyDescent="0.25">
      <c r="A441" t="str">
        <f>"0611830958025"</f>
        <v>0611830958025</v>
      </c>
      <c r="B441" t="str">
        <f>"MC2676"</f>
        <v>MC2676</v>
      </c>
      <c r="C441" t="s">
        <v>418</v>
      </c>
    </row>
    <row r="442" spans="1:3" x14ac:dyDescent="0.25">
      <c r="A442" t="str">
        <f>"0611830959025"</f>
        <v>0611830959025</v>
      </c>
      <c r="B442" t="str">
        <f>"MC2677"</f>
        <v>MC2677</v>
      </c>
      <c r="C442" t="s">
        <v>419</v>
      </c>
    </row>
    <row r="443" spans="1:3" x14ac:dyDescent="0.25">
      <c r="A443" t="str">
        <f>"0611830960025"</f>
        <v>0611830960025</v>
      </c>
      <c r="B443" t="str">
        <f>"MC2678"</f>
        <v>MC2678</v>
      </c>
      <c r="C443" t="s">
        <v>420</v>
      </c>
    </row>
    <row r="444" spans="1:3" x14ac:dyDescent="0.25">
      <c r="A444" t="str">
        <f>"0611830961025"</f>
        <v>0611830961025</v>
      </c>
      <c r="B444" t="str">
        <f>"MC2679"</f>
        <v>MC2679</v>
      </c>
      <c r="C444" t="s">
        <v>421</v>
      </c>
    </row>
    <row r="445" spans="1:3" x14ac:dyDescent="0.25">
      <c r="A445" t="str">
        <f>"0611830963025"</f>
        <v>0611830963025</v>
      </c>
      <c r="B445" t="str">
        <f>"MC2681"</f>
        <v>MC2681</v>
      </c>
      <c r="C445" t="s">
        <v>422</v>
      </c>
    </row>
    <row r="446" spans="1:3" x14ac:dyDescent="0.25">
      <c r="A446" t="str">
        <f>"0611830965025"</f>
        <v>0611830965025</v>
      </c>
      <c r="B446" t="str">
        <f>"MC4367"</f>
        <v>MC4367</v>
      </c>
      <c r="C446" t="s">
        <v>423</v>
      </c>
    </row>
    <row r="447" spans="1:3" x14ac:dyDescent="0.25">
      <c r="A447" t="str">
        <f>"0611830966025"</f>
        <v>0611830966025</v>
      </c>
      <c r="B447" t="str">
        <f>"MC4368"</f>
        <v>MC4368</v>
      </c>
      <c r="C447" t="s">
        <v>424</v>
      </c>
    </row>
    <row r="448" spans="1:3" x14ac:dyDescent="0.25">
      <c r="A448" t="str">
        <f>"0611830967025"</f>
        <v>0611830967025</v>
      </c>
      <c r="B448" t="str">
        <f>"MC4369"</f>
        <v>MC4369</v>
      </c>
      <c r="C448" t="s">
        <v>425</v>
      </c>
    </row>
    <row r="449" spans="1:3" x14ac:dyDescent="0.25">
      <c r="A449" t="str">
        <f>"0611830968025"</f>
        <v>0611830968025</v>
      </c>
      <c r="B449" t="str">
        <f>"MC4370"</f>
        <v>MC4370</v>
      </c>
      <c r="C449" t="s">
        <v>426</v>
      </c>
    </row>
    <row r="450" spans="1:3" x14ac:dyDescent="0.25">
      <c r="A450" t="str">
        <f>"0611830969025"</f>
        <v>0611830969025</v>
      </c>
      <c r="B450" t="str">
        <f>"MC4371"</f>
        <v>MC4371</v>
      </c>
      <c r="C450" t="s">
        <v>427</v>
      </c>
    </row>
    <row r="451" spans="1:3" x14ac:dyDescent="0.25">
      <c r="A451" t="str">
        <f>"0611830970025"</f>
        <v>0611830970025</v>
      </c>
      <c r="B451" t="str">
        <f>"MC4372"</f>
        <v>MC4372</v>
      </c>
      <c r="C451" t="s">
        <v>428</v>
      </c>
    </row>
    <row r="452" spans="1:3" x14ac:dyDescent="0.25">
      <c r="A452" t="str">
        <f>"0611830971025"</f>
        <v>0611830971025</v>
      </c>
      <c r="B452" t="str">
        <f>"MC4373"</f>
        <v>MC4373</v>
      </c>
      <c r="C452" t="s">
        <v>429</v>
      </c>
    </row>
    <row r="453" spans="1:3" x14ac:dyDescent="0.25">
      <c r="A453" t="str">
        <f>"0611830972025"</f>
        <v>0611830972025</v>
      </c>
      <c r="B453" t="str">
        <f>"MC4374"</f>
        <v>MC4374</v>
      </c>
      <c r="C453" t="s">
        <v>430</v>
      </c>
    </row>
    <row r="454" spans="1:3" x14ac:dyDescent="0.25">
      <c r="A454" t="str">
        <f>"0611830973025"</f>
        <v>0611830973025</v>
      </c>
      <c r="B454" t="str">
        <f>"MC4375"</f>
        <v>MC4375</v>
      </c>
      <c r="C454" t="s">
        <v>431</v>
      </c>
    </row>
    <row r="455" spans="1:3" x14ac:dyDescent="0.25">
      <c r="A455" t="str">
        <f>"0611830974025"</f>
        <v>0611830974025</v>
      </c>
      <c r="B455" t="str">
        <f>"MC4277"</f>
        <v>MC4277</v>
      </c>
      <c r="C455" t="s">
        <v>432</v>
      </c>
    </row>
    <row r="456" spans="1:3" x14ac:dyDescent="0.25">
      <c r="A456" t="str">
        <f>"0611830975025"</f>
        <v>0611830975025</v>
      </c>
      <c r="B456" t="str">
        <f>"MC4278"</f>
        <v>MC4278</v>
      </c>
      <c r="C456" t="s">
        <v>433</v>
      </c>
    </row>
    <row r="457" spans="1:3" x14ac:dyDescent="0.25">
      <c r="A457" t="str">
        <f>"0611830976025"</f>
        <v>0611830976025</v>
      </c>
      <c r="B457" t="str">
        <f>"MC4279"</f>
        <v>MC4279</v>
      </c>
      <c r="C457" t="s">
        <v>434</v>
      </c>
    </row>
    <row r="458" spans="1:3" x14ac:dyDescent="0.25">
      <c r="A458" t="str">
        <f>"0611830977025"</f>
        <v>0611830977025</v>
      </c>
      <c r="B458" t="str">
        <f>"MC4280"</f>
        <v>MC4280</v>
      </c>
      <c r="C458" t="s">
        <v>435</v>
      </c>
    </row>
    <row r="459" spans="1:3" x14ac:dyDescent="0.25">
      <c r="A459" t="str">
        <f>"0611830978025"</f>
        <v>0611830978025</v>
      </c>
      <c r="B459" t="str">
        <f>"MC4281"</f>
        <v>MC4281</v>
      </c>
      <c r="C459" t="s">
        <v>436</v>
      </c>
    </row>
    <row r="460" spans="1:3" x14ac:dyDescent="0.25">
      <c r="A460" t="str">
        <f>"0611830979025"</f>
        <v>0611830979025</v>
      </c>
      <c r="B460" t="str">
        <f>"MC4282"</f>
        <v>MC4282</v>
      </c>
      <c r="C460" t="s">
        <v>437</v>
      </c>
    </row>
    <row r="461" spans="1:3" x14ac:dyDescent="0.25">
      <c r="A461" t="str">
        <f>"0611830980025"</f>
        <v>0611830980025</v>
      </c>
      <c r="B461" t="str">
        <f>"MC4131"</f>
        <v>MC4131</v>
      </c>
      <c r="C461" t="s">
        <v>438</v>
      </c>
    </row>
    <row r="462" spans="1:3" x14ac:dyDescent="0.25">
      <c r="A462" t="str">
        <f>"0611830981100"</f>
        <v>0611830981100</v>
      </c>
      <c r="B462" t="str">
        <f>"LH0955"</f>
        <v>LH0955</v>
      </c>
      <c r="C462" t="s">
        <v>439</v>
      </c>
    </row>
    <row r="463" spans="1:3" x14ac:dyDescent="0.25">
      <c r="A463" t="str">
        <f>"0611830982025"</f>
        <v>0611830982025</v>
      </c>
      <c r="B463" t="str">
        <f>"MC0047"</f>
        <v>MC0047</v>
      </c>
      <c r="C463" t="s">
        <v>440</v>
      </c>
    </row>
    <row r="464" spans="1:3" x14ac:dyDescent="0.25">
      <c r="A464" t="str">
        <f>"0611830983100"</f>
        <v>0611830983100</v>
      </c>
      <c r="B464" t="str">
        <f>"LH0960"</f>
        <v>LH0960</v>
      </c>
      <c r="C464" t="s">
        <v>441</v>
      </c>
    </row>
    <row r="465" spans="1:3" x14ac:dyDescent="0.25">
      <c r="A465" t="str">
        <f>"0611830984025"</f>
        <v>0611830984025</v>
      </c>
      <c r="B465" t="str">
        <f>"MC1021"</f>
        <v>MC1021</v>
      </c>
      <c r="C465" t="s">
        <v>442</v>
      </c>
    </row>
    <row r="466" spans="1:3" x14ac:dyDescent="0.25">
      <c r="A466" t="str">
        <f>"0611830985025"</f>
        <v>0611830985025</v>
      </c>
      <c r="B466" t="str">
        <f>"MC3123"</f>
        <v>MC3123</v>
      </c>
      <c r="C466" t="s">
        <v>443</v>
      </c>
    </row>
    <row r="467" spans="1:3" x14ac:dyDescent="0.25">
      <c r="A467" t="str">
        <f>"0611830986025"</f>
        <v>0611830986025</v>
      </c>
      <c r="B467" t="str">
        <f>"MC3127"</f>
        <v>MC3127</v>
      </c>
      <c r="C467" t="s">
        <v>444</v>
      </c>
    </row>
    <row r="468" spans="1:3" x14ac:dyDescent="0.25">
      <c r="A468" t="str">
        <f>"0611830988025"</f>
        <v>0611830988025</v>
      </c>
      <c r="B468" t="str">
        <f>"MC3124"</f>
        <v>MC3124</v>
      </c>
      <c r="C468" t="s">
        <v>445</v>
      </c>
    </row>
    <row r="469" spans="1:3" x14ac:dyDescent="0.25">
      <c r="A469" t="str">
        <f>"0611830993100"</f>
        <v>0611830993100</v>
      </c>
      <c r="B469" t="str">
        <f>"LH8881"</f>
        <v>LH8881</v>
      </c>
      <c r="C469" t="s">
        <v>446</v>
      </c>
    </row>
    <row r="470" spans="1:3" x14ac:dyDescent="0.25">
      <c r="A470" t="str">
        <f>"0611830995025"</f>
        <v>0611830995025</v>
      </c>
      <c r="B470" t="str">
        <f>"MC0056"</f>
        <v>MC0056</v>
      </c>
      <c r="C470" t="s">
        <v>447</v>
      </c>
    </row>
    <row r="471" spans="1:3" x14ac:dyDescent="0.25">
      <c r="A471" t="str">
        <f>"0611830997025"</f>
        <v>0611830997025</v>
      </c>
      <c r="B471" t="str">
        <f>"MC1015"</f>
        <v>MC1015</v>
      </c>
      <c r="C471" t="s">
        <v>448</v>
      </c>
    </row>
    <row r="472" spans="1:3" x14ac:dyDescent="0.25">
      <c r="A472" t="str">
        <f>"0611830999025"</f>
        <v>0611830999025</v>
      </c>
      <c r="B472" t="str">
        <f>"MC0059"</f>
        <v>MC0059</v>
      </c>
      <c r="C472" t="s">
        <v>449</v>
      </c>
    </row>
    <row r="473" spans="1:3" x14ac:dyDescent="0.25">
      <c r="A473" t="str">
        <f>"0611831000025"</f>
        <v>0611831000025</v>
      </c>
      <c r="B473" t="str">
        <f>"MC2356"</f>
        <v>MC2356</v>
      </c>
      <c r="C473" t="s">
        <v>450</v>
      </c>
    </row>
    <row r="474" spans="1:3" x14ac:dyDescent="0.25">
      <c r="A474" t="str">
        <f>"0611831001025"</f>
        <v>0611831001025</v>
      </c>
      <c r="B474" t="str">
        <f>"MC4092"</f>
        <v>MC4092</v>
      </c>
      <c r="C474" t="s">
        <v>451</v>
      </c>
    </row>
    <row r="475" spans="1:3" x14ac:dyDescent="0.25">
      <c r="A475" t="str">
        <f>"0611831002025"</f>
        <v>0611831002025</v>
      </c>
      <c r="B475" t="str">
        <f>"MC2202"</f>
        <v>MC2202</v>
      </c>
      <c r="C475" t="s">
        <v>452</v>
      </c>
    </row>
    <row r="476" spans="1:3" x14ac:dyDescent="0.25">
      <c r="A476" t="str">
        <f>"0611831003025"</f>
        <v>0611831003025</v>
      </c>
      <c r="B476" t="str">
        <f>"MC2974"</f>
        <v>MC2974</v>
      </c>
      <c r="C476" t="s">
        <v>453</v>
      </c>
    </row>
    <row r="477" spans="1:3" x14ac:dyDescent="0.25">
      <c r="A477" t="str">
        <f>"0611831004025"</f>
        <v>0611831004025</v>
      </c>
      <c r="B477" t="str">
        <f>"MC2357"</f>
        <v>MC2357</v>
      </c>
      <c r="C477" t="s">
        <v>454</v>
      </c>
    </row>
    <row r="478" spans="1:3" x14ac:dyDescent="0.25">
      <c r="A478" t="str">
        <f>"0611831005025"</f>
        <v>0611831005025</v>
      </c>
      <c r="B478" t="str">
        <f>"MC2200"</f>
        <v>MC2200</v>
      </c>
      <c r="C478" t="s">
        <v>455</v>
      </c>
    </row>
    <row r="479" spans="1:3" x14ac:dyDescent="0.25">
      <c r="A479" t="str">
        <f>"0611831006025"</f>
        <v>0611831006025</v>
      </c>
      <c r="B479" t="str">
        <f>"MC3385"</f>
        <v>MC3385</v>
      </c>
      <c r="C479" t="s">
        <v>456</v>
      </c>
    </row>
    <row r="480" spans="1:3" x14ac:dyDescent="0.25">
      <c r="A480" t="str">
        <f>"0611831007025"</f>
        <v>0611831007025</v>
      </c>
      <c r="B480" t="str">
        <f>"MC1017"</f>
        <v>MC1017</v>
      </c>
      <c r="C480" t="s">
        <v>457</v>
      </c>
    </row>
    <row r="481" spans="1:3" x14ac:dyDescent="0.25">
      <c r="A481" t="str">
        <f>"0611831008025"</f>
        <v>0611831008025</v>
      </c>
      <c r="B481" t="str">
        <f>"MC2989"</f>
        <v>MC2989</v>
      </c>
      <c r="C481" t="s">
        <v>458</v>
      </c>
    </row>
    <row r="482" spans="1:3" x14ac:dyDescent="0.25">
      <c r="A482" t="str">
        <f>"0611831009025"</f>
        <v>0611831009025</v>
      </c>
      <c r="B482" t="str">
        <f>"MC3631"</f>
        <v>MC3631</v>
      </c>
      <c r="C482" t="s">
        <v>459</v>
      </c>
    </row>
    <row r="483" spans="1:3" x14ac:dyDescent="0.25">
      <c r="A483" t="str">
        <f>"0611831010025"</f>
        <v>0611831010025</v>
      </c>
      <c r="B483" t="str">
        <f>"MC1782"</f>
        <v>MC1782</v>
      </c>
      <c r="C483" t="s">
        <v>460</v>
      </c>
    </row>
    <row r="484" spans="1:3" x14ac:dyDescent="0.25">
      <c r="A484" t="str">
        <f>"0611831011025"</f>
        <v>0611831011025</v>
      </c>
      <c r="B484" t="str">
        <f>"MC3409"</f>
        <v>MC3409</v>
      </c>
      <c r="C484" t="s">
        <v>461</v>
      </c>
    </row>
    <row r="485" spans="1:3" x14ac:dyDescent="0.25">
      <c r="A485" t="str">
        <f>"0611831012100"</f>
        <v>0611831012100</v>
      </c>
      <c r="B485" t="str">
        <f>"LH8884"</f>
        <v>LH8884</v>
      </c>
      <c r="C485" t="s">
        <v>462</v>
      </c>
    </row>
    <row r="486" spans="1:3" x14ac:dyDescent="0.25">
      <c r="A486" t="str">
        <f>"0611831013025"</f>
        <v>0611831013025</v>
      </c>
      <c r="B486" t="str">
        <f>"MC2140"</f>
        <v>MC2140</v>
      </c>
      <c r="C486" t="s">
        <v>463</v>
      </c>
    </row>
    <row r="487" spans="1:3" x14ac:dyDescent="0.25">
      <c r="A487" t="str">
        <f>"0611831015025"</f>
        <v>0611831015025</v>
      </c>
      <c r="B487" t="str">
        <f>"MC1018"</f>
        <v>MC1018</v>
      </c>
      <c r="C487" t="s">
        <v>464</v>
      </c>
    </row>
    <row r="488" spans="1:3" x14ac:dyDescent="0.25">
      <c r="A488" t="str">
        <f>"0611831016025"</f>
        <v>0611831016025</v>
      </c>
      <c r="B488" t="str">
        <f>"MC1781"</f>
        <v>MC1781</v>
      </c>
      <c r="C488" t="s">
        <v>465</v>
      </c>
    </row>
    <row r="489" spans="1:3" x14ac:dyDescent="0.25">
      <c r="A489" t="str">
        <f>"0611831017025"</f>
        <v>0611831017025</v>
      </c>
      <c r="B489" t="str">
        <f>"MC1783"</f>
        <v>MC1783</v>
      </c>
      <c r="C489" t="s">
        <v>466</v>
      </c>
    </row>
    <row r="490" spans="1:3" x14ac:dyDescent="0.25">
      <c r="A490" t="str">
        <f>"0611831019025"</f>
        <v>0611831019025</v>
      </c>
      <c r="B490" t="str">
        <f>"MC4376"</f>
        <v>MC4376</v>
      </c>
      <c r="C490" t="s">
        <v>467</v>
      </c>
    </row>
    <row r="491" spans="1:3" x14ac:dyDescent="0.25">
      <c r="A491" t="str">
        <f>"0611831020025"</f>
        <v>0611831020025</v>
      </c>
      <c r="B491" t="str">
        <f>"MC4377"</f>
        <v>MC4377</v>
      </c>
      <c r="C491" t="s">
        <v>468</v>
      </c>
    </row>
    <row r="492" spans="1:3" x14ac:dyDescent="0.25">
      <c r="A492" t="str">
        <f>"0611883997025"</f>
        <v>0611883997025</v>
      </c>
      <c r="B492" t="str">
        <f>"MC4518"</f>
        <v>MC4518</v>
      </c>
      <c r="C492" t="s">
        <v>469</v>
      </c>
    </row>
    <row r="493" spans="1:3" x14ac:dyDescent="0.25">
      <c r="A493" t="str">
        <f>"0611831021025"</f>
        <v>0611831021025</v>
      </c>
      <c r="B493" t="str">
        <f>"MC4400"</f>
        <v>MC4400</v>
      </c>
      <c r="C493" t="s">
        <v>470</v>
      </c>
    </row>
    <row r="494" spans="1:3" x14ac:dyDescent="0.25">
      <c r="A494" t="str">
        <f>"0611831022100"</f>
        <v>0611831022100</v>
      </c>
      <c r="B494" t="str">
        <f>"LH1009"</f>
        <v>LH1009</v>
      </c>
      <c r="C494" t="s">
        <v>471</v>
      </c>
    </row>
    <row r="495" spans="1:3" x14ac:dyDescent="0.25">
      <c r="A495" t="str">
        <f>"0611831023100"</f>
        <v>0611831023100</v>
      </c>
      <c r="B495" t="str">
        <f>"LH8925"</f>
        <v>LH8925</v>
      </c>
      <c r="C495" t="s">
        <v>13767</v>
      </c>
    </row>
    <row r="496" spans="1:3" x14ac:dyDescent="0.25">
      <c r="A496" t="str">
        <f>"0611831024025"</f>
        <v>0611831024025</v>
      </c>
      <c r="B496" t="str">
        <f>"MQ0409"</f>
        <v>MQ0409</v>
      </c>
      <c r="C496" t="s">
        <v>472</v>
      </c>
    </row>
    <row r="497" spans="1:3" x14ac:dyDescent="0.25">
      <c r="A497" t="str">
        <f>"0611831026025"</f>
        <v>0611831026025</v>
      </c>
      <c r="B497" t="str">
        <f>"MQ0410"</f>
        <v>MQ0410</v>
      </c>
      <c r="C497" t="s">
        <v>473</v>
      </c>
    </row>
    <row r="498" spans="1:3" x14ac:dyDescent="0.25">
      <c r="A498" t="str">
        <f>"0611831027025"</f>
        <v>0611831027025</v>
      </c>
      <c r="B498" t="str">
        <f>"MC3542"</f>
        <v>MC3542</v>
      </c>
      <c r="C498" t="s">
        <v>474</v>
      </c>
    </row>
    <row r="499" spans="1:3" x14ac:dyDescent="0.25">
      <c r="A499" t="str">
        <f>"0611831028025"</f>
        <v>0611831028025</v>
      </c>
      <c r="B499" t="str">
        <f>"MC3678"</f>
        <v>MC3678</v>
      </c>
      <c r="C499" t="s">
        <v>475</v>
      </c>
    </row>
    <row r="500" spans="1:3" x14ac:dyDescent="0.25">
      <c r="A500" t="str">
        <f>"0611831030100"</f>
        <v>0611831030100</v>
      </c>
      <c r="B500" t="str">
        <f>"LH1016"</f>
        <v>LH1016</v>
      </c>
      <c r="C500" t="s">
        <v>476</v>
      </c>
    </row>
    <row r="501" spans="1:3" x14ac:dyDescent="0.25">
      <c r="A501" t="str">
        <f>"0611831031025"</f>
        <v>0611831031025</v>
      </c>
      <c r="B501" t="str">
        <f>"MC0067"</f>
        <v>MC0067</v>
      </c>
      <c r="C501" t="s">
        <v>477</v>
      </c>
    </row>
    <row r="502" spans="1:3" x14ac:dyDescent="0.25">
      <c r="A502" t="str">
        <f>"0611831033025"</f>
        <v>0611831033025</v>
      </c>
      <c r="B502" t="str">
        <f>"MC0068"</f>
        <v>MC0068</v>
      </c>
      <c r="C502" t="s">
        <v>478</v>
      </c>
    </row>
    <row r="503" spans="1:3" x14ac:dyDescent="0.25">
      <c r="A503" t="str">
        <f>"0611831034025"</f>
        <v>0611831034025</v>
      </c>
      <c r="B503" t="str">
        <f>"MC0069"</f>
        <v>MC0069</v>
      </c>
      <c r="C503" t="s">
        <v>479</v>
      </c>
    </row>
    <row r="504" spans="1:3" x14ac:dyDescent="0.25">
      <c r="A504" t="str">
        <f>"0611838556100"</f>
        <v>0611838556100</v>
      </c>
      <c r="B504" t="str">
        <f>"LF0370"</f>
        <v>LF0370</v>
      </c>
      <c r="C504" t="s">
        <v>480</v>
      </c>
    </row>
    <row r="505" spans="1:3" x14ac:dyDescent="0.25">
      <c r="A505" t="str">
        <f>"0611834089100"</f>
        <v>0611834089100</v>
      </c>
      <c r="B505" t="str">
        <f>"LF1850"</f>
        <v>LF1850</v>
      </c>
      <c r="C505" t="s">
        <v>481</v>
      </c>
    </row>
    <row r="506" spans="1:3" x14ac:dyDescent="0.25">
      <c r="A506" t="str">
        <f>"0611831035025"</f>
        <v>0611831035025</v>
      </c>
      <c r="B506" t="str">
        <f>"MC4345"</f>
        <v>MC4345</v>
      </c>
      <c r="C506" t="s">
        <v>482</v>
      </c>
    </row>
    <row r="507" spans="1:3" x14ac:dyDescent="0.25">
      <c r="A507" t="str">
        <f>"0611860511050"</f>
        <v>0611860511050</v>
      </c>
      <c r="B507" t="str">
        <f>"CR3951"</f>
        <v>CR3951</v>
      </c>
      <c r="C507" t="s">
        <v>483</v>
      </c>
    </row>
    <row r="508" spans="1:3" x14ac:dyDescent="0.25">
      <c r="A508" t="str">
        <f>"0611831037100"</f>
        <v>0611831037100</v>
      </c>
      <c r="B508" t="str">
        <f>"LF0605"</f>
        <v>LF0605</v>
      </c>
      <c r="C508" t="s">
        <v>484</v>
      </c>
    </row>
    <row r="509" spans="1:3" x14ac:dyDescent="0.25">
      <c r="A509" t="str">
        <f>"0611831038025"</f>
        <v>0611831038025</v>
      </c>
      <c r="B509" t="str">
        <f>"MC3882"</f>
        <v>MC3882</v>
      </c>
      <c r="C509" t="s">
        <v>485</v>
      </c>
    </row>
    <row r="510" spans="1:3" x14ac:dyDescent="0.25">
      <c r="A510" t="str">
        <f>"0611831039025"</f>
        <v>0611831039025</v>
      </c>
      <c r="B510" t="str">
        <f>"MC4261"</f>
        <v>MC4261</v>
      </c>
      <c r="C510" t="s">
        <v>486</v>
      </c>
    </row>
    <row r="511" spans="1:3" x14ac:dyDescent="0.25">
      <c r="A511" t="str">
        <f>"0611831040025"</f>
        <v>0611831040025</v>
      </c>
      <c r="B511" t="str">
        <f>"MC0070"</f>
        <v>MC0070</v>
      </c>
      <c r="C511" t="s">
        <v>487</v>
      </c>
    </row>
    <row r="512" spans="1:3" x14ac:dyDescent="0.25">
      <c r="A512" t="str">
        <f>"0611831041025"</f>
        <v>0611831041025</v>
      </c>
      <c r="B512" t="str">
        <f>"MQ0685"</f>
        <v>MQ0685</v>
      </c>
      <c r="C512" t="s">
        <v>488</v>
      </c>
    </row>
    <row r="513" spans="1:3" x14ac:dyDescent="0.25">
      <c r="A513" t="str">
        <f>"0611860515050"</f>
        <v>0611860515050</v>
      </c>
      <c r="B513" t="str">
        <f>"CE0956"</f>
        <v>CE0956</v>
      </c>
      <c r="C513" t="s">
        <v>489</v>
      </c>
    </row>
    <row r="514" spans="1:3" x14ac:dyDescent="0.25">
      <c r="A514" t="str">
        <f>"0611831042025"</f>
        <v>0611831042025</v>
      </c>
      <c r="B514" t="str">
        <f>"MQ0612"</f>
        <v>MQ0612</v>
      </c>
      <c r="C514" t="s">
        <v>490</v>
      </c>
    </row>
    <row r="515" spans="1:3" x14ac:dyDescent="0.25">
      <c r="A515" t="str">
        <f>"0611831043025"</f>
        <v>0611831043025</v>
      </c>
      <c r="B515" t="str">
        <f>"MQ0613"</f>
        <v>MQ0613</v>
      </c>
      <c r="C515" t="s">
        <v>491</v>
      </c>
    </row>
    <row r="516" spans="1:3" x14ac:dyDescent="0.25">
      <c r="A516" t="str">
        <f>"0611831044100"</f>
        <v>0611831044100</v>
      </c>
      <c r="B516" t="str">
        <f>"LQ0410"</f>
        <v>LQ0410</v>
      </c>
      <c r="C516" t="s">
        <v>492</v>
      </c>
    </row>
    <row r="517" spans="1:3" x14ac:dyDescent="0.25">
      <c r="A517" t="str">
        <f>"0611860516050"</f>
        <v>0611860516050</v>
      </c>
      <c r="B517" t="str">
        <f>"CR2001"</f>
        <v>CR2001</v>
      </c>
      <c r="C517" t="s">
        <v>493</v>
      </c>
    </row>
    <row r="518" spans="1:3" x14ac:dyDescent="0.25">
      <c r="A518" t="str">
        <f>"0611831045100"</f>
        <v>0611831045100</v>
      </c>
      <c r="B518" t="str">
        <f>"LK2519"</f>
        <v>LK2519</v>
      </c>
      <c r="C518" t="s">
        <v>494</v>
      </c>
    </row>
    <row r="519" spans="1:3" x14ac:dyDescent="0.25">
      <c r="A519" t="str">
        <f>"0611860517050"</f>
        <v>0611860517050</v>
      </c>
      <c r="B519" t="str">
        <f>"CR2002"</f>
        <v>CR2002</v>
      </c>
      <c r="C519" t="s">
        <v>495</v>
      </c>
    </row>
    <row r="520" spans="1:3" x14ac:dyDescent="0.25">
      <c r="A520" t="str">
        <f>"0611860518050"</f>
        <v>0611860518050</v>
      </c>
      <c r="B520" t="str">
        <f>"CR2003"</f>
        <v>CR2003</v>
      </c>
      <c r="C520" t="s">
        <v>496</v>
      </c>
    </row>
    <row r="521" spans="1:3" x14ac:dyDescent="0.25">
      <c r="A521" t="str">
        <f>"0611860519050"</f>
        <v>0611860519050</v>
      </c>
      <c r="B521" t="str">
        <f>"CR3468"</f>
        <v>CR3468</v>
      </c>
      <c r="C521" t="s">
        <v>497</v>
      </c>
    </row>
    <row r="522" spans="1:3" x14ac:dyDescent="0.25">
      <c r="A522" t="str">
        <f>"0611860520050"</f>
        <v>0611860520050</v>
      </c>
      <c r="B522" t="str">
        <f>"CR2004"</f>
        <v>CR2004</v>
      </c>
      <c r="C522" t="s">
        <v>498</v>
      </c>
    </row>
    <row r="523" spans="1:3" x14ac:dyDescent="0.25">
      <c r="A523" t="str">
        <f>"0611860521050"</f>
        <v>0611860521050</v>
      </c>
      <c r="B523" t="str">
        <f>"CR2005"</f>
        <v>CR2005</v>
      </c>
      <c r="C523" t="s">
        <v>499</v>
      </c>
    </row>
    <row r="524" spans="1:3" x14ac:dyDescent="0.25">
      <c r="A524" t="str">
        <f>"0611860522050"</f>
        <v>0611860522050</v>
      </c>
      <c r="B524" t="str">
        <f>"CR3281"</f>
        <v>CR3281</v>
      </c>
      <c r="C524" t="s">
        <v>500</v>
      </c>
    </row>
    <row r="525" spans="1:3" x14ac:dyDescent="0.25">
      <c r="A525" t="str">
        <f>"0611831047100"</f>
        <v>0611831047100</v>
      </c>
      <c r="B525" t="str">
        <f>"LQ5823"</f>
        <v>LQ5823</v>
      </c>
      <c r="C525" t="s">
        <v>501</v>
      </c>
    </row>
    <row r="526" spans="1:3" x14ac:dyDescent="0.25">
      <c r="A526" t="str">
        <f>"0611831051100"</f>
        <v>0611831051100</v>
      </c>
      <c r="B526" t="str">
        <f>"LQ0859"</f>
        <v>LQ0859</v>
      </c>
      <c r="C526" t="s">
        <v>502</v>
      </c>
    </row>
    <row r="527" spans="1:3" x14ac:dyDescent="0.25">
      <c r="A527" t="str">
        <f>"0611831053100"</f>
        <v>0611831053100</v>
      </c>
      <c r="B527" t="str">
        <f>"LQ6221"</f>
        <v>LQ6221</v>
      </c>
      <c r="C527" t="s">
        <v>503</v>
      </c>
    </row>
    <row r="528" spans="1:3" x14ac:dyDescent="0.25">
      <c r="A528" t="str">
        <f>"0611831054100"</f>
        <v>0611831054100</v>
      </c>
      <c r="B528" t="str">
        <f>"LH5608"</f>
        <v>LH5608</v>
      </c>
      <c r="C528" t="s">
        <v>504</v>
      </c>
    </row>
    <row r="529" spans="1:3" x14ac:dyDescent="0.25">
      <c r="A529" t="str">
        <f>"0611860523050"</f>
        <v>0611860523050</v>
      </c>
      <c r="B529" t="str">
        <f>"CE0382"</f>
        <v>CE0382</v>
      </c>
      <c r="C529" t="s">
        <v>13768</v>
      </c>
    </row>
    <row r="530" spans="1:3" x14ac:dyDescent="0.25">
      <c r="A530" t="str">
        <f>"0611860524050"</f>
        <v>0611860524050</v>
      </c>
      <c r="B530" t="str">
        <f>"CE1079"</f>
        <v>CE1079</v>
      </c>
      <c r="C530" t="s">
        <v>505</v>
      </c>
    </row>
    <row r="531" spans="1:3" x14ac:dyDescent="0.25">
      <c r="A531" t="str">
        <f>"0611860525050"</f>
        <v>0611860525050</v>
      </c>
      <c r="B531" t="str">
        <f>"CE0918"</f>
        <v>CE0918</v>
      </c>
      <c r="C531" t="s">
        <v>506</v>
      </c>
    </row>
    <row r="532" spans="1:3" x14ac:dyDescent="0.25">
      <c r="A532" t="str">
        <f>"0611860526050"</f>
        <v>0611860526050</v>
      </c>
      <c r="B532" t="str">
        <f>"CE0385"</f>
        <v>CE0385</v>
      </c>
      <c r="C532" t="s">
        <v>507</v>
      </c>
    </row>
    <row r="533" spans="1:3" x14ac:dyDescent="0.25">
      <c r="A533" t="str">
        <f>"0611860527050"</f>
        <v>0611860527050</v>
      </c>
      <c r="B533" t="str">
        <f>"CE1080"</f>
        <v>CE1080</v>
      </c>
      <c r="C533" t="s">
        <v>508</v>
      </c>
    </row>
    <row r="534" spans="1:3" x14ac:dyDescent="0.25">
      <c r="A534" t="str">
        <f>"0611860528050"</f>
        <v>0611860528050</v>
      </c>
      <c r="B534" t="str">
        <f>"CE1081"</f>
        <v>CE1081</v>
      </c>
      <c r="C534" t="s">
        <v>509</v>
      </c>
    </row>
    <row r="535" spans="1:3" x14ac:dyDescent="0.25">
      <c r="A535" t="str">
        <f>"0611831055100"</f>
        <v>0611831055100</v>
      </c>
      <c r="B535" t="str">
        <f>"LQ6151"</f>
        <v>LQ6151</v>
      </c>
      <c r="C535" t="s">
        <v>510</v>
      </c>
    </row>
    <row r="536" spans="1:3" x14ac:dyDescent="0.25">
      <c r="A536" t="str">
        <f>"0611831056100"</f>
        <v>0611831056100</v>
      </c>
      <c r="B536" t="str">
        <f>"LK2050"</f>
        <v>LK2050</v>
      </c>
      <c r="C536" t="s">
        <v>511</v>
      </c>
    </row>
    <row r="537" spans="1:3" x14ac:dyDescent="0.25">
      <c r="A537" t="str">
        <f>"0611831057100"</f>
        <v>0611831057100</v>
      </c>
      <c r="B537" t="str">
        <f>"LK2051"</f>
        <v>LK2051</v>
      </c>
      <c r="C537" t="s">
        <v>512</v>
      </c>
    </row>
    <row r="538" spans="1:3" x14ac:dyDescent="0.25">
      <c r="A538" t="str">
        <f>"0611831059025"</f>
        <v>0611831059025</v>
      </c>
      <c r="B538" t="str">
        <f>"MC0075"</f>
        <v>MC0075</v>
      </c>
      <c r="C538" t="s">
        <v>513</v>
      </c>
    </row>
    <row r="539" spans="1:3" x14ac:dyDescent="0.25">
      <c r="A539" t="str">
        <f>"0611831060025"</f>
        <v>0611831060025</v>
      </c>
      <c r="B539" t="str">
        <f>"MC3543"</f>
        <v>MC3543</v>
      </c>
      <c r="C539" t="s">
        <v>514</v>
      </c>
    </row>
    <row r="540" spans="1:3" x14ac:dyDescent="0.25">
      <c r="A540" t="str">
        <f>"0611831061025"</f>
        <v>0611831061025</v>
      </c>
      <c r="B540" t="str">
        <f>"MC4093"</f>
        <v>MC4093</v>
      </c>
      <c r="C540" t="s">
        <v>515</v>
      </c>
    </row>
    <row r="541" spans="1:3" x14ac:dyDescent="0.25">
      <c r="A541" t="str">
        <f>"0611831062025"</f>
        <v>0611831062025</v>
      </c>
      <c r="B541" t="str">
        <f>"MC3281"</f>
        <v>MC3281</v>
      </c>
      <c r="C541" t="s">
        <v>516</v>
      </c>
    </row>
    <row r="542" spans="1:3" x14ac:dyDescent="0.25">
      <c r="A542" t="str">
        <f>"0611831063025"</f>
        <v>0611831063025</v>
      </c>
      <c r="B542" t="str">
        <f>"MQ0154"</f>
        <v>MQ0154</v>
      </c>
      <c r="C542" t="s">
        <v>517</v>
      </c>
    </row>
    <row r="543" spans="1:3" x14ac:dyDescent="0.25">
      <c r="A543" t="str">
        <f>"0611831064025"</f>
        <v>0611831064025</v>
      </c>
      <c r="B543" t="str">
        <f>"MQ0636"</f>
        <v>MQ0636</v>
      </c>
      <c r="C543" t="s">
        <v>518</v>
      </c>
    </row>
    <row r="544" spans="1:3" x14ac:dyDescent="0.25">
      <c r="A544" t="str">
        <f>"0611831065025"</f>
        <v>0611831065025</v>
      </c>
      <c r="B544" t="str">
        <f>"MQ0411"</f>
        <v>MQ0411</v>
      </c>
      <c r="C544" t="s">
        <v>519</v>
      </c>
    </row>
    <row r="545" spans="1:3" x14ac:dyDescent="0.25">
      <c r="A545" t="str">
        <f>"0611831066025"</f>
        <v>0611831066025</v>
      </c>
      <c r="B545" t="str">
        <f>"MQ0412"</f>
        <v>MQ0412</v>
      </c>
      <c r="C545" t="s">
        <v>520</v>
      </c>
    </row>
    <row r="546" spans="1:3" x14ac:dyDescent="0.25">
      <c r="A546" t="str">
        <f>"0611906643025"</f>
        <v>0611906643025</v>
      </c>
      <c r="B546" t="str">
        <f>"MQ7573"</f>
        <v>MQ7573</v>
      </c>
      <c r="C546" t="s">
        <v>521</v>
      </c>
    </row>
    <row r="547" spans="1:3" x14ac:dyDescent="0.25">
      <c r="A547" t="str">
        <f>"0611831067025"</f>
        <v>0611831067025</v>
      </c>
      <c r="B547" t="str">
        <f>"MQ0155"</f>
        <v>MQ0155</v>
      </c>
      <c r="C547" t="s">
        <v>522</v>
      </c>
    </row>
    <row r="548" spans="1:3" x14ac:dyDescent="0.25">
      <c r="A548" t="str">
        <f>"0611883998025"</f>
        <v>0611883998025</v>
      </c>
      <c r="B548" t="str">
        <f>"MQ0819"</f>
        <v>MQ0819</v>
      </c>
      <c r="C548" t="s">
        <v>523</v>
      </c>
    </row>
    <row r="549" spans="1:3" x14ac:dyDescent="0.25">
      <c r="A549" t="str">
        <f>"0611831070025"</f>
        <v>0611831070025</v>
      </c>
      <c r="B549" t="str">
        <f>"MC3283"</f>
        <v>MC3283</v>
      </c>
      <c r="C549" t="s">
        <v>524</v>
      </c>
    </row>
    <row r="550" spans="1:3" x14ac:dyDescent="0.25">
      <c r="A550" t="str">
        <f>"0611831071025"</f>
        <v>0611831071025</v>
      </c>
      <c r="B550" t="str">
        <f>"MC4133"</f>
        <v>MC4133</v>
      </c>
      <c r="C550" t="s">
        <v>525</v>
      </c>
    </row>
    <row r="551" spans="1:3" x14ac:dyDescent="0.25">
      <c r="A551" t="str">
        <f>"0611831072100"</f>
        <v>0611831072100</v>
      </c>
      <c r="B551" t="str">
        <f>"LH1060"</f>
        <v>LH1060</v>
      </c>
      <c r="C551" t="s">
        <v>526</v>
      </c>
    </row>
    <row r="552" spans="1:3" x14ac:dyDescent="0.25">
      <c r="A552" t="str">
        <f>"0611831074025"</f>
        <v>0611831074025</v>
      </c>
      <c r="B552" t="str">
        <f>"MC0073"</f>
        <v>MC0073</v>
      </c>
      <c r="C552" t="s">
        <v>527</v>
      </c>
    </row>
    <row r="553" spans="1:3" x14ac:dyDescent="0.25">
      <c r="A553" t="str">
        <f>"0611831075025"</f>
        <v>0611831075025</v>
      </c>
      <c r="B553" t="str">
        <f>"MC1787"</f>
        <v>MC1787</v>
      </c>
      <c r="C553" t="s">
        <v>528</v>
      </c>
    </row>
    <row r="554" spans="1:3" x14ac:dyDescent="0.25">
      <c r="A554" t="str">
        <f>"0611831076100"</f>
        <v>0611831076100</v>
      </c>
      <c r="B554" t="str">
        <f>"LL8109"</f>
        <v>LL8109</v>
      </c>
      <c r="C554" t="s">
        <v>529</v>
      </c>
    </row>
    <row r="555" spans="1:3" x14ac:dyDescent="0.25">
      <c r="A555" t="str">
        <f>"0611831077100"</f>
        <v>0611831077100</v>
      </c>
      <c r="B555" t="str">
        <f>"LC0009"</f>
        <v>LC0009</v>
      </c>
      <c r="C555" t="s">
        <v>530</v>
      </c>
    </row>
    <row r="556" spans="1:3" x14ac:dyDescent="0.25">
      <c r="A556" t="str">
        <f>"0611860529050"</f>
        <v>0611860529050</v>
      </c>
      <c r="B556" t="str">
        <f>"CR4065"</f>
        <v>CR4065</v>
      </c>
      <c r="C556" t="s">
        <v>531</v>
      </c>
    </row>
    <row r="557" spans="1:3" x14ac:dyDescent="0.25">
      <c r="A557" t="str">
        <f>"0611860530100"</f>
        <v>0611860530100</v>
      </c>
      <c r="B557" t="str">
        <f>"CN5014"</f>
        <v>CN5014</v>
      </c>
      <c r="C557" t="s">
        <v>532</v>
      </c>
    </row>
    <row r="558" spans="1:3" x14ac:dyDescent="0.25">
      <c r="A558" t="str">
        <f>"0611860531050"</f>
        <v>0611860531050</v>
      </c>
      <c r="B558" t="str">
        <f>"CR4191"</f>
        <v>CR4191</v>
      </c>
      <c r="C558" t="s">
        <v>533</v>
      </c>
    </row>
    <row r="559" spans="1:3" x14ac:dyDescent="0.25">
      <c r="A559" t="str">
        <f>"0611856819025"</f>
        <v>0611856819025</v>
      </c>
      <c r="B559" t="str">
        <f>"MC4413"</f>
        <v>MC4413</v>
      </c>
      <c r="C559" t="s">
        <v>534</v>
      </c>
    </row>
    <row r="560" spans="1:3" x14ac:dyDescent="0.25">
      <c r="A560" t="str">
        <f>"0611831080025"</f>
        <v>0611831080025</v>
      </c>
      <c r="B560" t="str">
        <f>"MQ0559"</f>
        <v>MQ0559</v>
      </c>
      <c r="C560" t="s">
        <v>535</v>
      </c>
    </row>
    <row r="561" spans="1:3" x14ac:dyDescent="0.25">
      <c r="A561" t="str">
        <f>"0611860532050"</f>
        <v>0611860532050</v>
      </c>
      <c r="B561" t="str">
        <f>"CR2007"</f>
        <v>CR2007</v>
      </c>
      <c r="C561" t="s">
        <v>536</v>
      </c>
    </row>
    <row r="562" spans="1:3" x14ac:dyDescent="0.25">
      <c r="A562" t="str">
        <f>"0611831081100"</f>
        <v>0611831081100</v>
      </c>
      <c r="B562" t="str">
        <f>"LH1088"</f>
        <v>LH1088</v>
      </c>
      <c r="C562" t="s">
        <v>537</v>
      </c>
    </row>
    <row r="563" spans="1:3" x14ac:dyDescent="0.25">
      <c r="A563" t="str">
        <f>"0611831082025"</f>
        <v>0611831082025</v>
      </c>
      <c r="B563" t="str">
        <f>"MC0076"</f>
        <v>MC0076</v>
      </c>
      <c r="C563" t="s">
        <v>538</v>
      </c>
    </row>
    <row r="564" spans="1:3" x14ac:dyDescent="0.25">
      <c r="A564" t="str">
        <f>"0611860533050"</f>
        <v>0611860533050</v>
      </c>
      <c r="B564" t="str">
        <f>"CR4190"</f>
        <v>CR4190</v>
      </c>
      <c r="C564" t="s">
        <v>539</v>
      </c>
    </row>
    <row r="565" spans="1:3" x14ac:dyDescent="0.25">
      <c r="A565" t="str">
        <f>"0611831084100"</f>
        <v>0611831084100</v>
      </c>
      <c r="B565" t="str">
        <f>"LH0033"</f>
        <v>LH0033</v>
      </c>
      <c r="C565" t="s">
        <v>540</v>
      </c>
    </row>
    <row r="566" spans="1:3" x14ac:dyDescent="0.25">
      <c r="A566" t="str">
        <f>"0611860534100"</f>
        <v>0611860534100</v>
      </c>
      <c r="B566" t="str">
        <f>"CN5016"</f>
        <v>CN5016</v>
      </c>
      <c r="C566" t="s">
        <v>541</v>
      </c>
    </row>
    <row r="567" spans="1:3" x14ac:dyDescent="0.25">
      <c r="A567" t="str">
        <f>"0611831085025"</f>
        <v>0611831085025</v>
      </c>
      <c r="B567" t="str">
        <f>"MC0077"</f>
        <v>MC0077</v>
      </c>
      <c r="C567" t="s">
        <v>542</v>
      </c>
    </row>
    <row r="568" spans="1:3" x14ac:dyDescent="0.25">
      <c r="A568" t="str">
        <f>"0611860535050"</f>
        <v>0611860535050</v>
      </c>
      <c r="B568" t="str">
        <f>"CR4193"</f>
        <v>CR4193</v>
      </c>
      <c r="C568" t="s">
        <v>543</v>
      </c>
    </row>
    <row r="569" spans="1:3" x14ac:dyDescent="0.25">
      <c r="A569" t="str">
        <f>"0611831086100"</f>
        <v>0611831086100</v>
      </c>
      <c r="B569" t="str">
        <f>"LH8955"</f>
        <v>LH8955</v>
      </c>
      <c r="C569" t="s">
        <v>544</v>
      </c>
    </row>
    <row r="570" spans="1:3" x14ac:dyDescent="0.25">
      <c r="A570" t="str">
        <f>"0611831087100"</f>
        <v>0611831087100</v>
      </c>
      <c r="B570" t="str">
        <f>"LH1087"</f>
        <v>LH1087</v>
      </c>
      <c r="C570" t="s">
        <v>545</v>
      </c>
    </row>
    <row r="571" spans="1:3" x14ac:dyDescent="0.25">
      <c r="A571" t="str">
        <f>"0611831088025"</f>
        <v>0611831088025</v>
      </c>
      <c r="B571" t="str">
        <f>"MC0079"</f>
        <v>MC0079</v>
      </c>
      <c r="C571" t="s">
        <v>546</v>
      </c>
    </row>
    <row r="572" spans="1:3" x14ac:dyDescent="0.25">
      <c r="A572" t="str">
        <f>"0611860536050"</f>
        <v>0611860536050</v>
      </c>
      <c r="B572" t="str">
        <f>"CR3358"</f>
        <v>CR3358</v>
      </c>
      <c r="C572" t="s">
        <v>547</v>
      </c>
    </row>
    <row r="573" spans="1:3" x14ac:dyDescent="0.25">
      <c r="A573" t="str">
        <f>"0611860537100"</f>
        <v>0611860537100</v>
      </c>
      <c r="B573" t="str">
        <f>"CN5015"</f>
        <v>CN5015</v>
      </c>
      <c r="C573" t="s">
        <v>548</v>
      </c>
    </row>
    <row r="574" spans="1:3" x14ac:dyDescent="0.25">
      <c r="A574" t="str">
        <f>"0611831089025"</f>
        <v>0611831089025</v>
      </c>
      <c r="B574" t="str">
        <f>"MQ0680"</f>
        <v>MQ0680</v>
      </c>
      <c r="C574" t="s">
        <v>549</v>
      </c>
    </row>
    <row r="575" spans="1:3" x14ac:dyDescent="0.25">
      <c r="A575" t="str">
        <f>"0611831090025"</f>
        <v>0611831090025</v>
      </c>
      <c r="B575" t="str">
        <f>"MQ0681"</f>
        <v>MQ0681</v>
      </c>
      <c r="C575" t="s">
        <v>550</v>
      </c>
    </row>
    <row r="576" spans="1:3" x14ac:dyDescent="0.25">
      <c r="A576" t="str">
        <f>"0611883999025"</f>
        <v>0611883999025</v>
      </c>
      <c r="B576" t="str">
        <f>"MC4507"</f>
        <v>MC4507</v>
      </c>
      <c r="C576" t="s">
        <v>551</v>
      </c>
    </row>
    <row r="577" spans="1:3" x14ac:dyDescent="0.25">
      <c r="A577" t="str">
        <f>"0611884000025"</f>
        <v>0611884000025</v>
      </c>
      <c r="B577" t="str">
        <f>"MC4512"</f>
        <v>MC4512</v>
      </c>
      <c r="C577" t="s">
        <v>552</v>
      </c>
    </row>
    <row r="578" spans="1:3" x14ac:dyDescent="0.25">
      <c r="A578" t="str">
        <f>"0611833651100"</f>
        <v>0611833651100</v>
      </c>
      <c r="B578" t="str">
        <f>"LL0100"</f>
        <v>LL0100</v>
      </c>
      <c r="C578" t="s">
        <v>3576</v>
      </c>
    </row>
    <row r="579" spans="1:3" x14ac:dyDescent="0.25">
      <c r="A579" t="str">
        <f>"0611834189100"</f>
        <v>0611834189100</v>
      </c>
      <c r="B579" t="str">
        <f>"LL0090"</f>
        <v>LL0090</v>
      </c>
      <c r="C579" t="s">
        <v>553</v>
      </c>
    </row>
    <row r="580" spans="1:3" x14ac:dyDescent="0.25">
      <c r="A580" t="str">
        <f>"0611834190100"</f>
        <v>0611834190100</v>
      </c>
      <c r="B580" t="str">
        <f>"LL5021"</f>
        <v>LL5021</v>
      </c>
      <c r="C580" t="s">
        <v>554</v>
      </c>
    </row>
    <row r="581" spans="1:3" x14ac:dyDescent="0.25">
      <c r="A581" t="str">
        <f>"0611834191025"</f>
        <v>0611834191025</v>
      </c>
      <c r="B581" t="str">
        <f>"MC2992"</f>
        <v>MC2992</v>
      </c>
      <c r="C581" t="s">
        <v>4607</v>
      </c>
    </row>
    <row r="582" spans="1:3" x14ac:dyDescent="0.25">
      <c r="A582" t="str">
        <f>"0611831092025"</f>
        <v>0611831092025</v>
      </c>
      <c r="B582" t="str">
        <f>"MC0082"</f>
        <v>MC0082</v>
      </c>
      <c r="C582" t="s">
        <v>555</v>
      </c>
    </row>
    <row r="583" spans="1:3" x14ac:dyDescent="0.25">
      <c r="A583" t="str">
        <f>"0611831093025"</f>
        <v>0611831093025</v>
      </c>
      <c r="B583" t="str">
        <f>"MC0083"</f>
        <v>MC0083</v>
      </c>
      <c r="C583" t="s">
        <v>556</v>
      </c>
    </row>
    <row r="584" spans="1:3" x14ac:dyDescent="0.25">
      <c r="A584" t="str">
        <f>"0611831094100"</f>
        <v>0611831094100</v>
      </c>
      <c r="B584" t="str">
        <f>"LK5166"</f>
        <v>LK5166</v>
      </c>
      <c r="C584" t="s">
        <v>557</v>
      </c>
    </row>
    <row r="585" spans="1:3" x14ac:dyDescent="0.25">
      <c r="A585" t="str">
        <f>"0611831095025"</f>
        <v>0611831095025</v>
      </c>
      <c r="B585" t="str">
        <f>"MC0084"</f>
        <v>MC0084</v>
      </c>
      <c r="C585" t="s">
        <v>558</v>
      </c>
    </row>
    <row r="586" spans="1:3" x14ac:dyDescent="0.25">
      <c r="A586" t="str">
        <f>"0611831096100"</f>
        <v>0611831096100</v>
      </c>
      <c r="B586" t="str">
        <f>"LH1132"</f>
        <v>LH1132</v>
      </c>
      <c r="C586" t="s">
        <v>559</v>
      </c>
    </row>
    <row r="587" spans="1:3" x14ac:dyDescent="0.25">
      <c r="A587" t="str">
        <f>"0611831097025"</f>
        <v>0611831097025</v>
      </c>
      <c r="B587" t="str">
        <f>"MC1789"</f>
        <v>MC1789</v>
      </c>
      <c r="C587" t="s">
        <v>560</v>
      </c>
    </row>
    <row r="588" spans="1:3" x14ac:dyDescent="0.25">
      <c r="A588" t="str">
        <f>"0611831098025"</f>
        <v>0611831098025</v>
      </c>
      <c r="B588" t="str">
        <f>"MC3386"</f>
        <v>MC3386</v>
      </c>
      <c r="C588" t="s">
        <v>561</v>
      </c>
    </row>
    <row r="589" spans="1:3" x14ac:dyDescent="0.25">
      <c r="A589" t="str">
        <f>"0611831099025"</f>
        <v>0611831099025</v>
      </c>
      <c r="B589" t="str">
        <f>"MC4378"</f>
        <v>MC4378</v>
      </c>
      <c r="C589" t="s">
        <v>562</v>
      </c>
    </row>
    <row r="590" spans="1:3" x14ac:dyDescent="0.25">
      <c r="A590" t="str">
        <f>"0611831100100"</f>
        <v>0611831100100</v>
      </c>
      <c r="B590" t="str">
        <f>"LH1130"</f>
        <v>LH1130</v>
      </c>
      <c r="C590" t="s">
        <v>563</v>
      </c>
    </row>
    <row r="591" spans="1:3" x14ac:dyDescent="0.25">
      <c r="A591" t="str">
        <f>"0611831101025"</f>
        <v>0611831101025</v>
      </c>
      <c r="B591" t="str">
        <f>"MC0086"</f>
        <v>MC0086</v>
      </c>
      <c r="C591" t="s">
        <v>564</v>
      </c>
    </row>
    <row r="592" spans="1:3" x14ac:dyDescent="0.25">
      <c r="A592" t="str">
        <f>"0611831102100"</f>
        <v>0611831102100</v>
      </c>
      <c r="B592" t="str">
        <f>"LH8952"</f>
        <v>LH8952</v>
      </c>
      <c r="C592" t="s">
        <v>565</v>
      </c>
    </row>
    <row r="593" spans="1:3" x14ac:dyDescent="0.25">
      <c r="A593" t="str">
        <f>"0611831103100"</f>
        <v>0611831103100</v>
      </c>
      <c r="B593" t="str">
        <f>"LH1131"</f>
        <v>LH1131</v>
      </c>
      <c r="C593" t="s">
        <v>566</v>
      </c>
    </row>
    <row r="594" spans="1:3" x14ac:dyDescent="0.25">
      <c r="A594" t="str">
        <f>"0611831104100"</f>
        <v>0611831104100</v>
      </c>
      <c r="B594" t="str">
        <f>"LH0004"</f>
        <v>LH0004</v>
      </c>
      <c r="C594" t="s">
        <v>567</v>
      </c>
    </row>
    <row r="595" spans="1:3" x14ac:dyDescent="0.25">
      <c r="A595" t="str">
        <f>"0611831105100"</f>
        <v>0611831105100</v>
      </c>
      <c r="B595" t="str">
        <f>"LH8828"</f>
        <v>LH8828</v>
      </c>
      <c r="C595" t="s">
        <v>568</v>
      </c>
    </row>
    <row r="596" spans="1:3" x14ac:dyDescent="0.25">
      <c r="A596" t="str">
        <f>"0611831108100"</f>
        <v>0611831108100</v>
      </c>
      <c r="B596" t="str">
        <f>"LF0620"</f>
        <v>LF0620</v>
      </c>
      <c r="C596" t="s">
        <v>571</v>
      </c>
    </row>
    <row r="597" spans="1:3" x14ac:dyDescent="0.25">
      <c r="A597" t="str">
        <f>"0611831109100"</f>
        <v>0611831109100</v>
      </c>
      <c r="B597" t="str">
        <f>"LG8028"</f>
        <v>LG8028</v>
      </c>
      <c r="C597" t="s">
        <v>572</v>
      </c>
    </row>
    <row r="598" spans="1:3" x14ac:dyDescent="0.25">
      <c r="A598" t="str">
        <f>"0611831110100"</f>
        <v>0611831110100</v>
      </c>
      <c r="B598" t="str">
        <f>"LF0625"</f>
        <v>LF0625</v>
      </c>
      <c r="C598" t="s">
        <v>573</v>
      </c>
    </row>
    <row r="599" spans="1:3" x14ac:dyDescent="0.25">
      <c r="A599" t="str">
        <f>"0611831111100"</f>
        <v>0611831111100</v>
      </c>
      <c r="B599" t="str">
        <f>"MB0627"</f>
        <v>MB0627</v>
      </c>
      <c r="C599" t="s">
        <v>574</v>
      </c>
    </row>
    <row r="600" spans="1:3" x14ac:dyDescent="0.25">
      <c r="A600" t="str">
        <f>"0611831112100"</f>
        <v>0611831112100</v>
      </c>
      <c r="B600" t="str">
        <f>"LF0627"</f>
        <v>LF0627</v>
      </c>
      <c r="C600" t="s">
        <v>575</v>
      </c>
    </row>
    <row r="601" spans="1:3" x14ac:dyDescent="0.25">
      <c r="A601" t="str">
        <f>"0611831113100"</f>
        <v>0611831113100</v>
      </c>
      <c r="B601" t="str">
        <f>"LS0005"</f>
        <v>LS0005</v>
      </c>
      <c r="C601" t="s">
        <v>576</v>
      </c>
    </row>
    <row r="602" spans="1:3" x14ac:dyDescent="0.25">
      <c r="A602" t="str">
        <f>"0611831106100"</f>
        <v>0611831106100</v>
      </c>
      <c r="B602" t="str">
        <f>"LL0200"</f>
        <v>LL0200</v>
      </c>
      <c r="C602" t="s">
        <v>569</v>
      </c>
    </row>
    <row r="603" spans="1:3" x14ac:dyDescent="0.25">
      <c r="A603" t="str">
        <f>"0611831107025"</f>
        <v>0611831107025</v>
      </c>
      <c r="B603" t="str">
        <f>"MC0945"</f>
        <v>MC0945</v>
      </c>
      <c r="C603" t="s">
        <v>570</v>
      </c>
    </row>
    <row r="604" spans="1:3" x14ac:dyDescent="0.25">
      <c r="A604" t="str">
        <f>"0611909896100"</f>
        <v>0611909896100</v>
      </c>
      <c r="B604" t="str">
        <f>""</f>
        <v/>
      </c>
      <c r="C604" t="s">
        <v>13769</v>
      </c>
    </row>
    <row r="605" spans="1:3" x14ac:dyDescent="0.25">
      <c r="A605" t="str">
        <f>"0611909897050"</f>
        <v>0611909897050</v>
      </c>
      <c r="B605" t="str">
        <f>""</f>
        <v/>
      </c>
      <c r="C605" t="s">
        <v>13770</v>
      </c>
    </row>
    <row r="606" spans="1:3" x14ac:dyDescent="0.25">
      <c r="A606" t="str">
        <f>"0611909898050"</f>
        <v>0611909898050</v>
      </c>
      <c r="B606" t="str">
        <f>""</f>
        <v/>
      </c>
      <c r="C606" t="s">
        <v>13771</v>
      </c>
    </row>
    <row r="607" spans="1:3" x14ac:dyDescent="0.25">
      <c r="A607" t="str">
        <f>"0611909899050"</f>
        <v>0611909899050</v>
      </c>
      <c r="B607" t="str">
        <f>""</f>
        <v/>
      </c>
      <c r="C607" t="s">
        <v>13772</v>
      </c>
    </row>
    <row r="608" spans="1:3" x14ac:dyDescent="0.25">
      <c r="A608" t="str">
        <f>"0611909900050"</f>
        <v>0611909900050</v>
      </c>
      <c r="B608" t="str">
        <f>""</f>
        <v/>
      </c>
      <c r="C608" t="s">
        <v>13773</v>
      </c>
    </row>
    <row r="609" spans="1:3" x14ac:dyDescent="0.25">
      <c r="A609" t="str">
        <f>"0611831114100"</f>
        <v>0611831114100</v>
      </c>
      <c r="B609" t="str">
        <f>"LH1186"</f>
        <v>LH1186</v>
      </c>
      <c r="C609" t="s">
        <v>577</v>
      </c>
    </row>
    <row r="610" spans="1:3" x14ac:dyDescent="0.25">
      <c r="A610" t="str">
        <f>"0611831115025"</f>
        <v>0611831115025</v>
      </c>
      <c r="B610" t="str">
        <f>"MC0095"</f>
        <v>MC0095</v>
      </c>
      <c r="C610" t="s">
        <v>578</v>
      </c>
    </row>
    <row r="611" spans="1:3" x14ac:dyDescent="0.25">
      <c r="A611" t="str">
        <f>"0611832207100"</f>
        <v>0611832207100</v>
      </c>
      <c r="B611" t="str">
        <f>"LK0075"</f>
        <v>LK0075</v>
      </c>
      <c r="C611" t="s">
        <v>579</v>
      </c>
    </row>
    <row r="612" spans="1:3" x14ac:dyDescent="0.25">
      <c r="A612" t="str">
        <f>"0611860538050"</f>
        <v>0611860538050</v>
      </c>
      <c r="B612" t="str">
        <f>"CE1082"</f>
        <v>CE1082</v>
      </c>
      <c r="C612" t="s">
        <v>580</v>
      </c>
    </row>
    <row r="613" spans="1:3" x14ac:dyDescent="0.25">
      <c r="A613" t="str">
        <f>"0611832208100"</f>
        <v>0611832208100</v>
      </c>
      <c r="B613" t="str">
        <f>"LB0641"</f>
        <v>LB0641</v>
      </c>
      <c r="C613" t="s">
        <v>581</v>
      </c>
    </row>
    <row r="614" spans="1:3" x14ac:dyDescent="0.25">
      <c r="A614" t="str">
        <f>"0611831118100"</f>
        <v>0611831118100</v>
      </c>
      <c r="B614" t="str">
        <f>"LY0243"</f>
        <v>LY0243</v>
      </c>
      <c r="C614" t="s">
        <v>582</v>
      </c>
    </row>
    <row r="615" spans="1:3" x14ac:dyDescent="0.25">
      <c r="A615" t="str">
        <f>"0611893311050"</f>
        <v>0611893311050</v>
      </c>
      <c r="B615" t="str">
        <f>"CA0509"</f>
        <v>CA0509</v>
      </c>
      <c r="C615" t="s">
        <v>583</v>
      </c>
    </row>
    <row r="616" spans="1:3" x14ac:dyDescent="0.25">
      <c r="A616" t="str">
        <f>"0611831119100"</f>
        <v>0611831119100</v>
      </c>
      <c r="B616" t="str">
        <f>"LH0031"</f>
        <v>LH0031</v>
      </c>
      <c r="C616" t="s">
        <v>584</v>
      </c>
    </row>
    <row r="617" spans="1:3" x14ac:dyDescent="0.25">
      <c r="A617" t="str">
        <f>"0611832210100"</f>
        <v>0611832210100</v>
      </c>
      <c r="B617" t="str">
        <f>"LK5554"</f>
        <v>LK5554</v>
      </c>
      <c r="C617" t="s">
        <v>585</v>
      </c>
    </row>
    <row r="618" spans="1:3" x14ac:dyDescent="0.25">
      <c r="A618" t="str">
        <f>"0611832211100"</f>
        <v>0611832211100</v>
      </c>
      <c r="B618" t="str">
        <f>"LB0645"</f>
        <v>LB0645</v>
      </c>
      <c r="C618" t="s">
        <v>586</v>
      </c>
    </row>
    <row r="619" spans="1:3" x14ac:dyDescent="0.25">
      <c r="A619" t="str">
        <f>"0611831120025"</f>
        <v>0611831120025</v>
      </c>
      <c r="B619" t="str">
        <f>"MC2143"</f>
        <v>MC2143</v>
      </c>
      <c r="C619" t="s">
        <v>587</v>
      </c>
    </row>
    <row r="620" spans="1:3" x14ac:dyDescent="0.25">
      <c r="A620" t="str">
        <f>"0611831121100"</f>
        <v>0611831121100</v>
      </c>
      <c r="B620" t="str">
        <f>"LY0245"</f>
        <v>LY0245</v>
      </c>
      <c r="C620" t="s">
        <v>588</v>
      </c>
    </row>
    <row r="621" spans="1:3" x14ac:dyDescent="0.25">
      <c r="A621" t="str">
        <f>"0611893312050"</f>
        <v>0611893312050</v>
      </c>
      <c r="B621" t="str">
        <f>"CA0553"</f>
        <v>CA0553</v>
      </c>
      <c r="C621" t="s">
        <v>589</v>
      </c>
    </row>
    <row r="622" spans="1:3" x14ac:dyDescent="0.25">
      <c r="A622" t="str">
        <f>"0611831122100"</f>
        <v>0611831122100</v>
      </c>
      <c r="B622" t="str">
        <f>"LY0246"</f>
        <v>LY0246</v>
      </c>
      <c r="C622" t="s">
        <v>590</v>
      </c>
    </row>
    <row r="623" spans="1:3" x14ac:dyDescent="0.25">
      <c r="A623" t="str">
        <f>"0611893313050"</f>
        <v>0611893313050</v>
      </c>
      <c r="B623" t="str">
        <f>"CA0554"</f>
        <v>CA0554</v>
      </c>
      <c r="C623" t="s">
        <v>591</v>
      </c>
    </row>
    <row r="624" spans="1:3" x14ac:dyDescent="0.25">
      <c r="A624" t="str">
        <f>"0611831123100"</f>
        <v>0611831123100</v>
      </c>
      <c r="B624" t="str">
        <f>"LY0247"</f>
        <v>LY0247</v>
      </c>
      <c r="C624" t="s">
        <v>592</v>
      </c>
    </row>
    <row r="625" spans="1:3" x14ac:dyDescent="0.25">
      <c r="A625" t="str">
        <f>"0611893314050"</f>
        <v>0611893314050</v>
      </c>
      <c r="B625" t="str">
        <f>"CA0558"</f>
        <v>CA0558</v>
      </c>
      <c r="C625" t="s">
        <v>593</v>
      </c>
    </row>
    <row r="626" spans="1:3" x14ac:dyDescent="0.25">
      <c r="A626" t="str">
        <f>"0611831117025"</f>
        <v>0611831117025</v>
      </c>
      <c r="B626" t="str">
        <f>"MC3679"</f>
        <v>MC3679</v>
      </c>
      <c r="C626" t="s">
        <v>594</v>
      </c>
    </row>
    <row r="627" spans="1:3" x14ac:dyDescent="0.25">
      <c r="A627" t="str">
        <f>"0611831124100"</f>
        <v>0611831124100</v>
      </c>
      <c r="B627" t="str">
        <f>"LY0249"</f>
        <v>LY0249</v>
      </c>
      <c r="C627" t="s">
        <v>595</v>
      </c>
    </row>
    <row r="628" spans="1:3" x14ac:dyDescent="0.25">
      <c r="A628" t="str">
        <f>"0611893315050"</f>
        <v>0611893315050</v>
      </c>
      <c r="B628" t="str">
        <f>"CA0594"</f>
        <v>CA0594</v>
      </c>
      <c r="C628" t="s">
        <v>596</v>
      </c>
    </row>
    <row r="629" spans="1:3" x14ac:dyDescent="0.25">
      <c r="A629" t="str">
        <f>"0611831125100"</f>
        <v>0611831125100</v>
      </c>
      <c r="B629" t="str">
        <f>"LY5655"</f>
        <v>LY5655</v>
      </c>
      <c r="C629" t="s">
        <v>597</v>
      </c>
    </row>
    <row r="630" spans="1:3" x14ac:dyDescent="0.25">
      <c r="A630" t="str">
        <f>"0611893316050"</f>
        <v>0611893316050</v>
      </c>
      <c r="B630" t="str">
        <f>"CA0597"</f>
        <v>CA0597</v>
      </c>
      <c r="C630" t="s">
        <v>598</v>
      </c>
    </row>
    <row r="631" spans="1:3" x14ac:dyDescent="0.25">
      <c r="A631" t="str">
        <f>"0611893317050"</f>
        <v>0611893317050</v>
      </c>
      <c r="B631" t="str">
        <f>"CA0596"</f>
        <v>CA0596</v>
      </c>
      <c r="C631" t="s">
        <v>600</v>
      </c>
    </row>
    <row r="632" spans="1:3" x14ac:dyDescent="0.25">
      <c r="A632" t="str">
        <f>"0611893318050"</f>
        <v>0611893318050</v>
      </c>
      <c r="B632" t="str">
        <f>"CA0595"</f>
        <v>CA0595</v>
      </c>
      <c r="C632" t="s">
        <v>602</v>
      </c>
    </row>
    <row r="633" spans="1:3" x14ac:dyDescent="0.25">
      <c r="A633" t="str">
        <f>"0611893324050"</f>
        <v>0611893324050</v>
      </c>
      <c r="B633" t="str">
        <f>"CA0599"</f>
        <v>CA0599</v>
      </c>
      <c r="C633" t="s">
        <v>604</v>
      </c>
    </row>
    <row r="634" spans="1:3" x14ac:dyDescent="0.25">
      <c r="A634" t="str">
        <f>"0611893319050"</f>
        <v>0611893319050</v>
      </c>
      <c r="B634" t="str">
        <f>"CA0598"</f>
        <v>CA0598</v>
      </c>
      <c r="C634" t="s">
        <v>606</v>
      </c>
    </row>
    <row r="635" spans="1:3" x14ac:dyDescent="0.25">
      <c r="A635" t="str">
        <f>"0611831126100"</f>
        <v>0611831126100</v>
      </c>
      <c r="B635" t="str">
        <f>"LY5658"</f>
        <v>LY5658</v>
      </c>
      <c r="C635" t="s">
        <v>599</v>
      </c>
    </row>
    <row r="636" spans="1:3" x14ac:dyDescent="0.25">
      <c r="A636" t="str">
        <f>"0611831127100"</f>
        <v>0611831127100</v>
      </c>
      <c r="B636" t="str">
        <f>"LY0256"</f>
        <v>LY0256</v>
      </c>
      <c r="C636" t="s">
        <v>603</v>
      </c>
    </row>
    <row r="637" spans="1:3" x14ac:dyDescent="0.25">
      <c r="A637" t="str">
        <f>"0611831128100"</f>
        <v>0611831128100</v>
      </c>
      <c r="B637" t="str">
        <f>"LY5657"</f>
        <v>LY5657</v>
      </c>
      <c r="C637" t="s">
        <v>601</v>
      </c>
    </row>
    <row r="638" spans="1:3" x14ac:dyDescent="0.25">
      <c r="A638" t="str">
        <f>"0611831129100"</f>
        <v>0611831129100</v>
      </c>
      <c r="B638" t="str">
        <f>"LY0250"</f>
        <v>LY0250</v>
      </c>
      <c r="C638" t="s">
        <v>605</v>
      </c>
    </row>
    <row r="639" spans="1:3" x14ac:dyDescent="0.25">
      <c r="A639" t="str">
        <f>"0611860541100"</f>
        <v>0611860541100</v>
      </c>
      <c r="B639" t="str">
        <f>"CN5018"</f>
        <v>CN5018</v>
      </c>
      <c r="C639" t="s">
        <v>607</v>
      </c>
    </row>
    <row r="640" spans="1:3" x14ac:dyDescent="0.25">
      <c r="A640" t="str">
        <f>"0611860542100"</f>
        <v>0611860542100</v>
      </c>
      <c r="B640" t="str">
        <f>"CN5019"</f>
        <v>CN5019</v>
      </c>
      <c r="C640" t="s">
        <v>608</v>
      </c>
    </row>
    <row r="641" spans="1:3" x14ac:dyDescent="0.25">
      <c r="A641" t="str">
        <f>"0611860543100"</f>
        <v>0611860543100</v>
      </c>
      <c r="B641" t="str">
        <f>"CN5020"</f>
        <v>CN5020</v>
      </c>
      <c r="C641" t="s">
        <v>609</v>
      </c>
    </row>
    <row r="642" spans="1:3" x14ac:dyDescent="0.25">
      <c r="A642" t="str">
        <f>"0611831130100"</f>
        <v>0611831130100</v>
      </c>
      <c r="B642" t="str">
        <f>"LY0257"</f>
        <v>LY0257</v>
      </c>
      <c r="C642" t="s">
        <v>610</v>
      </c>
    </row>
    <row r="643" spans="1:3" x14ac:dyDescent="0.25">
      <c r="A643" t="str">
        <f>"0611893320050"</f>
        <v>0611893320050</v>
      </c>
      <c r="B643" t="str">
        <f>"CA0627"</f>
        <v>CA0627</v>
      </c>
      <c r="C643" t="s">
        <v>611</v>
      </c>
    </row>
    <row r="644" spans="1:3" x14ac:dyDescent="0.25">
      <c r="A644" t="str">
        <f>"0611831131100"</f>
        <v>0611831131100</v>
      </c>
      <c r="B644" t="str">
        <f>"LY0251"</f>
        <v>LY0251</v>
      </c>
      <c r="C644" t="s">
        <v>612</v>
      </c>
    </row>
    <row r="645" spans="1:3" x14ac:dyDescent="0.25">
      <c r="A645" t="str">
        <f>"0611893321050"</f>
        <v>0611893321050</v>
      </c>
      <c r="B645" t="str">
        <f>"CA0626"</f>
        <v>CA0626</v>
      </c>
      <c r="C645" t="s">
        <v>613</v>
      </c>
    </row>
    <row r="646" spans="1:3" x14ac:dyDescent="0.25">
      <c r="A646" t="str">
        <f>"0611831132100"</f>
        <v>0611831132100</v>
      </c>
      <c r="B646" t="str">
        <f>"LY0252"</f>
        <v>LY0252</v>
      </c>
      <c r="C646" t="s">
        <v>614</v>
      </c>
    </row>
    <row r="647" spans="1:3" x14ac:dyDescent="0.25">
      <c r="A647" t="str">
        <f>"0611893322050"</f>
        <v>0611893322050</v>
      </c>
      <c r="B647" t="str">
        <f>"CA0632"</f>
        <v>CA0632</v>
      </c>
      <c r="C647" t="s">
        <v>615</v>
      </c>
    </row>
    <row r="648" spans="1:3" x14ac:dyDescent="0.25">
      <c r="A648" t="str">
        <f>"0611832214100"</f>
        <v>0611832214100</v>
      </c>
      <c r="B648" t="str">
        <f>"LB0636"</f>
        <v>LB0636</v>
      </c>
      <c r="C648" t="s">
        <v>616</v>
      </c>
    </row>
    <row r="649" spans="1:3" x14ac:dyDescent="0.25">
      <c r="A649" t="str">
        <f>"0611831133025"</f>
        <v>0611831133025</v>
      </c>
      <c r="B649" t="str">
        <f>"MC0097"</f>
        <v>MC0097</v>
      </c>
      <c r="C649" t="s">
        <v>617</v>
      </c>
    </row>
    <row r="650" spans="1:3" x14ac:dyDescent="0.25">
      <c r="A650" t="str">
        <f>"0611831116100"</f>
        <v>0611831116100</v>
      </c>
      <c r="B650" t="str">
        <f>"LH0030"</f>
        <v>LH0030</v>
      </c>
      <c r="C650" t="s">
        <v>618</v>
      </c>
    </row>
    <row r="651" spans="1:3" x14ac:dyDescent="0.25">
      <c r="A651" t="str">
        <f>"0611832216100"</f>
        <v>0611832216100</v>
      </c>
      <c r="B651" t="str">
        <f>"LB0695"</f>
        <v>LB0695</v>
      </c>
      <c r="C651" t="s">
        <v>619</v>
      </c>
    </row>
    <row r="652" spans="1:3" x14ac:dyDescent="0.25">
      <c r="A652" t="str">
        <f>"0611831134100"</f>
        <v>0611831134100</v>
      </c>
      <c r="B652" t="str">
        <f>"LY0255"</f>
        <v>LY0255</v>
      </c>
      <c r="C652" t="s">
        <v>620</v>
      </c>
    </row>
    <row r="653" spans="1:3" x14ac:dyDescent="0.25">
      <c r="A653" t="str">
        <f>"0611893323050"</f>
        <v>0611893323050</v>
      </c>
      <c r="B653" t="str">
        <f>"CA0663"</f>
        <v>CA0663</v>
      </c>
      <c r="C653" t="s">
        <v>621</v>
      </c>
    </row>
    <row r="654" spans="1:3" x14ac:dyDescent="0.25">
      <c r="A654" t="str">
        <f>"0611831135100"</f>
        <v>0611831135100</v>
      </c>
      <c r="B654" t="str">
        <f>"LH0032"</f>
        <v>LH0032</v>
      </c>
      <c r="C654" t="s">
        <v>622</v>
      </c>
    </row>
    <row r="655" spans="1:3" x14ac:dyDescent="0.25">
      <c r="A655" t="str">
        <f>"0611832217100"</f>
        <v>0611832217100</v>
      </c>
      <c r="B655" t="str">
        <f>"LB0700"</f>
        <v>LB0700</v>
      </c>
      <c r="C655" t="s">
        <v>623</v>
      </c>
    </row>
    <row r="656" spans="1:3" x14ac:dyDescent="0.25">
      <c r="A656" t="str">
        <f>"0611832218100"</f>
        <v>0611832218100</v>
      </c>
      <c r="B656" t="str">
        <f>"LB0702"</f>
        <v>LB0702</v>
      </c>
      <c r="C656" t="s">
        <v>624</v>
      </c>
    </row>
    <row r="657" spans="1:3" x14ac:dyDescent="0.25">
      <c r="A657" t="str">
        <f>"0611832219100"</f>
        <v>0611832219100</v>
      </c>
      <c r="B657" t="str">
        <f>"LB0708"</f>
        <v>LB0708</v>
      </c>
      <c r="C657" t="s">
        <v>625</v>
      </c>
    </row>
    <row r="658" spans="1:3" x14ac:dyDescent="0.25">
      <c r="A658" t="str">
        <f>"0611832220100"</f>
        <v>0611832220100</v>
      </c>
      <c r="B658" t="str">
        <f>"LB0703"</f>
        <v>LB0703</v>
      </c>
      <c r="C658" t="s">
        <v>626</v>
      </c>
    </row>
    <row r="659" spans="1:3" x14ac:dyDescent="0.25">
      <c r="A659" t="str">
        <f>"0611832221100"</f>
        <v>0611832221100</v>
      </c>
      <c r="B659" t="str">
        <f>"LB0705"</f>
        <v>LB0705</v>
      </c>
      <c r="C659" t="s">
        <v>627</v>
      </c>
    </row>
    <row r="660" spans="1:3" x14ac:dyDescent="0.25">
      <c r="A660" t="str">
        <f>"0611831136025"</f>
        <v>0611831136025</v>
      </c>
      <c r="B660" t="str">
        <f>"MC0089"</f>
        <v>MC0089</v>
      </c>
      <c r="C660" t="s">
        <v>628</v>
      </c>
    </row>
    <row r="661" spans="1:3" x14ac:dyDescent="0.25">
      <c r="A661" t="str">
        <f>"0611831137100"</f>
        <v>0611831137100</v>
      </c>
      <c r="B661" t="str">
        <f>"LY0258"</f>
        <v>LY0258</v>
      </c>
      <c r="C661" t="s">
        <v>629</v>
      </c>
    </row>
    <row r="662" spans="1:3" x14ac:dyDescent="0.25">
      <c r="A662" t="str">
        <f>"0611893325050"</f>
        <v>0611893325050</v>
      </c>
      <c r="B662" t="str">
        <f>"CA0671"</f>
        <v>CA0671</v>
      </c>
      <c r="C662" t="s">
        <v>630</v>
      </c>
    </row>
    <row r="663" spans="1:3" x14ac:dyDescent="0.25">
      <c r="A663" t="str">
        <f>"0611831138025"</f>
        <v>0611831138025</v>
      </c>
      <c r="B663" t="str">
        <f>"MC0090"</f>
        <v>MC0090</v>
      </c>
      <c r="C663" t="s">
        <v>631</v>
      </c>
    </row>
    <row r="664" spans="1:3" x14ac:dyDescent="0.25">
      <c r="A664" t="str">
        <f>"0611831139100"</f>
        <v>0611831139100</v>
      </c>
      <c r="B664" t="str">
        <f>"LH0034"</f>
        <v>LH0034</v>
      </c>
      <c r="C664" t="s">
        <v>632</v>
      </c>
    </row>
    <row r="665" spans="1:3" x14ac:dyDescent="0.25">
      <c r="A665" t="str">
        <f>"0611893326050"</f>
        <v>0611893326050</v>
      </c>
      <c r="B665" t="str">
        <f>"CA0755"</f>
        <v>CA0755</v>
      </c>
      <c r="C665" t="s">
        <v>633</v>
      </c>
    </row>
    <row r="666" spans="1:3" x14ac:dyDescent="0.25">
      <c r="A666" t="str">
        <f>"0611860545050"</f>
        <v>0611860545050</v>
      </c>
      <c r="B666" t="str">
        <f>"CE1373"</f>
        <v>CE1373</v>
      </c>
      <c r="C666" t="s">
        <v>634</v>
      </c>
    </row>
    <row r="667" spans="1:3" x14ac:dyDescent="0.25">
      <c r="A667" t="str">
        <f>"0611893327050"</f>
        <v>0611893327050</v>
      </c>
      <c r="B667" t="str">
        <f>"CA0726"</f>
        <v>CA0726</v>
      </c>
      <c r="C667" t="s">
        <v>635</v>
      </c>
    </row>
    <row r="668" spans="1:3" x14ac:dyDescent="0.25">
      <c r="A668" t="str">
        <f>"0611893328050"</f>
        <v>0611893328050</v>
      </c>
      <c r="B668" t="str">
        <f>"CA0756"</f>
        <v>CA0756</v>
      </c>
      <c r="C668" t="s">
        <v>636</v>
      </c>
    </row>
    <row r="669" spans="1:3" x14ac:dyDescent="0.25">
      <c r="A669" t="str">
        <f>"0611893329050"</f>
        <v>0611893329050</v>
      </c>
      <c r="B669" t="str">
        <f>"CA0757"</f>
        <v>CA0757</v>
      </c>
      <c r="C669" t="s">
        <v>637</v>
      </c>
    </row>
    <row r="670" spans="1:3" x14ac:dyDescent="0.25">
      <c r="A670" t="str">
        <f>"0611893330050"</f>
        <v>0611893330050</v>
      </c>
      <c r="B670" t="str">
        <f>"CA0727"</f>
        <v>CA0727</v>
      </c>
      <c r="C670" t="s">
        <v>638</v>
      </c>
    </row>
    <row r="671" spans="1:3" x14ac:dyDescent="0.25">
      <c r="A671" t="str">
        <f>"0611893331050"</f>
        <v>0611893331050</v>
      </c>
      <c r="B671" t="str">
        <f>"CA0758"</f>
        <v>CA0758</v>
      </c>
      <c r="C671" t="s">
        <v>639</v>
      </c>
    </row>
    <row r="672" spans="1:3" x14ac:dyDescent="0.25">
      <c r="A672" t="str">
        <f>"0611860546050"</f>
        <v>0611860546050</v>
      </c>
      <c r="B672" t="str">
        <f>"CE1374"</f>
        <v>CE1374</v>
      </c>
      <c r="C672" t="s">
        <v>640</v>
      </c>
    </row>
    <row r="673" spans="1:3" x14ac:dyDescent="0.25">
      <c r="A673" t="str">
        <f>"0611893332050"</f>
        <v>0611893332050</v>
      </c>
      <c r="B673" t="str">
        <f>"CA0729"</f>
        <v>CA0729</v>
      </c>
      <c r="C673" t="s">
        <v>641</v>
      </c>
    </row>
    <row r="674" spans="1:3" x14ac:dyDescent="0.25">
      <c r="A674" t="str">
        <f>"0611832224100"</f>
        <v>0611832224100</v>
      </c>
      <c r="B674" t="str">
        <f>"LB0715"</f>
        <v>LB0715</v>
      </c>
      <c r="C674" t="s">
        <v>642</v>
      </c>
    </row>
    <row r="675" spans="1:3" x14ac:dyDescent="0.25">
      <c r="A675" t="str">
        <f>"0611893333050"</f>
        <v>0611893333050</v>
      </c>
      <c r="B675" t="str">
        <f>"CA0732"</f>
        <v>CA0732</v>
      </c>
      <c r="C675" t="s">
        <v>643</v>
      </c>
    </row>
    <row r="676" spans="1:3" x14ac:dyDescent="0.25">
      <c r="A676" t="str">
        <f>"0611893334050"</f>
        <v>0611893334050</v>
      </c>
      <c r="B676" t="str">
        <f>"CA0733"</f>
        <v>CA0733</v>
      </c>
      <c r="C676" t="s">
        <v>644</v>
      </c>
    </row>
    <row r="677" spans="1:3" x14ac:dyDescent="0.25">
      <c r="A677" t="str">
        <f>"0611831142100"</f>
        <v>0611831142100</v>
      </c>
      <c r="B677" t="str">
        <f>"LH0035"</f>
        <v>LH0035</v>
      </c>
      <c r="C677" t="s">
        <v>645</v>
      </c>
    </row>
    <row r="678" spans="1:3" x14ac:dyDescent="0.25">
      <c r="A678" t="str">
        <f>"0611831143025"</f>
        <v>0611831143025</v>
      </c>
      <c r="B678" t="str">
        <f>"MC1043"</f>
        <v>MC1043</v>
      </c>
      <c r="C678" t="s">
        <v>646</v>
      </c>
    </row>
    <row r="679" spans="1:3" x14ac:dyDescent="0.25">
      <c r="A679" t="str">
        <f>"0611831144025"</f>
        <v>0611831144025</v>
      </c>
      <c r="B679" t="str">
        <f>"MC1044"</f>
        <v>MC1044</v>
      </c>
      <c r="C679" t="s">
        <v>647</v>
      </c>
    </row>
    <row r="680" spans="1:3" x14ac:dyDescent="0.25">
      <c r="A680" t="str">
        <f>"0611831145025"</f>
        <v>0611831145025</v>
      </c>
      <c r="B680" t="str">
        <f>"MC1045"</f>
        <v>MC1045</v>
      </c>
      <c r="C680" t="s">
        <v>648</v>
      </c>
    </row>
    <row r="681" spans="1:3" x14ac:dyDescent="0.25">
      <c r="A681" t="str">
        <f>"0611831150025"</f>
        <v>0611831150025</v>
      </c>
      <c r="B681" t="str">
        <f>"MC0101"</f>
        <v>MC0101</v>
      </c>
      <c r="C681" t="s">
        <v>649</v>
      </c>
    </row>
    <row r="682" spans="1:3" x14ac:dyDescent="0.25">
      <c r="A682" t="str">
        <f>"0611831151025"</f>
        <v>0611831151025</v>
      </c>
      <c r="B682" t="str">
        <f>"MC0103"</f>
        <v>MC0103</v>
      </c>
      <c r="C682" t="s">
        <v>650</v>
      </c>
    </row>
    <row r="683" spans="1:3" x14ac:dyDescent="0.25">
      <c r="A683" t="str">
        <f>"0611831152025"</f>
        <v>0611831152025</v>
      </c>
      <c r="B683" t="str">
        <f>"MC0107"</f>
        <v>MC0107</v>
      </c>
      <c r="C683" t="s">
        <v>651</v>
      </c>
    </row>
    <row r="684" spans="1:3" x14ac:dyDescent="0.25">
      <c r="A684" t="str">
        <f>"0611831154025"</f>
        <v>0611831154025</v>
      </c>
      <c r="B684" t="str">
        <f>"MC0116"</f>
        <v>MC0116</v>
      </c>
      <c r="C684" t="s">
        <v>652</v>
      </c>
    </row>
    <row r="685" spans="1:3" x14ac:dyDescent="0.25">
      <c r="A685" t="str">
        <f>"0611831155025"</f>
        <v>0611831155025</v>
      </c>
      <c r="B685" t="str">
        <f>"MC1059"</f>
        <v>MC1059</v>
      </c>
      <c r="C685" t="s">
        <v>653</v>
      </c>
    </row>
    <row r="686" spans="1:3" x14ac:dyDescent="0.25">
      <c r="A686" t="str">
        <f>"0611831156025"</f>
        <v>0611831156025</v>
      </c>
      <c r="B686" t="str">
        <f>"MC0111"</f>
        <v>MC0111</v>
      </c>
      <c r="C686" t="s">
        <v>654</v>
      </c>
    </row>
    <row r="687" spans="1:3" x14ac:dyDescent="0.25">
      <c r="A687" t="str">
        <f>"0611831157025"</f>
        <v>0611831157025</v>
      </c>
      <c r="B687" t="str">
        <f>"MC0119"</f>
        <v>MC0119</v>
      </c>
      <c r="C687" t="s">
        <v>655</v>
      </c>
    </row>
    <row r="688" spans="1:3" x14ac:dyDescent="0.25">
      <c r="A688" t="str">
        <f>"0611856820025"</f>
        <v>0611856820025</v>
      </c>
      <c r="B688" t="str">
        <f>"MC4432"</f>
        <v>MC4432</v>
      </c>
      <c r="C688" t="s">
        <v>656</v>
      </c>
    </row>
    <row r="689" spans="1:3" x14ac:dyDescent="0.25">
      <c r="A689" t="str">
        <f>"0611831158025"</f>
        <v>0611831158025</v>
      </c>
      <c r="B689" t="str">
        <f>"MC0113"</f>
        <v>MC0113</v>
      </c>
      <c r="C689" t="s">
        <v>657</v>
      </c>
    </row>
    <row r="690" spans="1:3" x14ac:dyDescent="0.25">
      <c r="A690" t="str">
        <f>"0611831159025"</f>
        <v>0611831159025</v>
      </c>
      <c r="B690" t="str">
        <f>"MC1060"</f>
        <v>MC1060</v>
      </c>
      <c r="C690" t="s">
        <v>658</v>
      </c>
    </row>
    <row r="691" spans="1:3" x14ac:dyDescent="0.25">
      <c r="A691" t="str">
        <f>"0611831161025"</f>
        <v>0611831161025</v>
      </c>
      <c r="B691" t="str">
        <f>"MC4008"</f>
        <v>MC4008</v>
      </c>
      <c r="C691" t="s">
        <v>659</v>
      </c>
    </row>
    <row r="692" spans="1:3" x14ac:dyDescent="0.25">
      <c r="A692" t="str">
        <f>"0611831162025"</f>
        <v>0611831162025</v>
      </c>
      <c r="B692" t="str">
        <f>"MC4009"</f>
        <v>MC4009</v>
      </c>
      <c r="C692" t="s">
        <v>660</v>
      </c>
    </row>
    <row r="693" spans="1:3" x14ac:dyDescent="0.25">
      <c r="A693" t="str">
        <f>"0611831163025"</f>
        <v>0611831163025</v>
      </c>
      <c r="B693" t="str">
        <f>"MC0120"</f>
        <v>MC0120</v>
      </c>
      <c r="C693" t="s">
        <v>661</v>
      </c>
    </row>
    <row r="694" spans="1:3" x14ac:dyDescent="0.25">
      <c r="A694" t="str">
        <f>"0611831164025"</f>
        <v>0611831164025</v>
      </c>
      <c r="B694" t="str">
        <f>"MC3411"</f>
        <v>MC3411</v>
      </c>
      <c r="C694" t="s">
        <v>662</v>
      </c>
    </row>
    <row r="695" spans="1:3" x14ac:dyDescent="0.25">
      <c r="A695" t="str">
        <f>"0611831167025"</f>
        <v>0611831167025</v>
      </c>
      <c r="B695" t="str">
        <f>"MC3934"</f>
        <v>MC3934</v>
      </c>
      <c r="C695" t="s">
        <v>663</v>
      </c>
    </row>
    <row r="696" spans="1:3" x14ac:dyDescent="0.25">
      <c r="A696" t="str">
        <f>"0611831169025"</f>
        <v>0611831169025</v>
      </c>
      <c r="B696" t="str">
        <f>"MC4134"</f>
        <v>MC4134</v>
      </c>
      <c r="C696" t="s">
        <v>664</v>
      </c>
    </row>
    <row r="697" spans="1:3" x14ac:dyDescent="0.25">
      <c r="A697" t="str">
        <f>"0611860547050"</f>
        <v>0611860547050</v>
      </c>
      <c r="B697" t="str">
        <f>"CE0957"</f>
        <v>CE0957</v>
      </c>
      <c r="C697" t="s">
        <v>665</v>
      </c>
    </row>
    <row r="698" spans="1:3" x14ac:dyDescent="0.25">
      <c r="A698" t="str">
        <f>"0611860548050"</f>
        <v>0611860548050</v>
      </c>
      <c r="B698" t="str">
        <f>"CE0958"</f>
        <v>CE0958</v>
      </c>
      <c r="C698" t="s">
        <v>666</v>
      </c>
    </row>
    <row r="699" spans="1:3" x14ac:dyDescent="0.25">
      <c r="A699" t="str">
        <f>"0611860549050"</f>
        <v>0611860549050</v>
      </c>
      <c r="B699" t="str">
        <f>"CE0960"</f>
        <v>CE0960</v>
      </c>
      <c r="C699" t="s">
        <v>667</v>
      </c>
    </row>
    <row r="700" spans="1:3" x14ac:dyDescent="0.25">
      <c r="A700" t="str">
        <f>"0611860550050"</f>
        <v>0611860550050</v>
      </c>
      <c r="B700" t="str">
        <f>"CE0961"</f>
        <v>CE0961</v>
      </c>
      <c r="C700" t="s">
        <v>668</v>
      </c>
    </row>
    <row r="701" spans="1:3" x14ac:dyDescent="0.25">
      <c r="A701" t="str">
        <f>"0611860551050"</f>
        <v>0611860551050</v>
      </c>
      <c r="B701" t="str">
        <f>"CE0963"</f>
        <v>CE0963</v>
      </c>
      <c r="C701" t="s">
        <v>669</v>
      </c>
    </row>
    <row r="702" spans="1:3" x14ac:dyDescent="0.25">
      <c r="A702" t="str">
        <f>"0611860552050"</f>
        <v>0611860552050</v>
      </c>
      <c r="B702" t="str">
        <f>"CE0964"</f>
        <v>CE0964</v>
      </c>
      <c r="C702" t="s">
        <v>670</v>
      </c>
    </row>
    <row r="703" spans="1:3" x14ac:dyDescent="0.25">
      <c r="A703" t="str">
        <f>"0611831170025"</f>
        <v>0611831170025</v>
      </c>
      <c r="B703" t="str">
        <f>"MQ0686"</f>
        <v>MQ0686</v>
      </c>
      <c r="C703" t="s">
        <v>671</v>
      </c>
    </row>
    <row r="704" spans="1:3" x14ac:dyDescent="0.25">
      <c r="A704" t="str">
        <f>"0611860553050"</f>
        <v>0611860553050</v>
      </c>
      <c r="B704" t="str">
        <f>"CE0967"</f>
        <v>CE0967</v>
      </c>
      <c r="C704" t="s">
        <v>672</v>
      </c>
    </row>
    <row r="705" spans="1:3" x14ac:dyDescent="0.25">
      <c r="A705" t="str">
        <f>"0611831171100"</f>
        <v>0611831171100</v>
      </c>
      <c r="B705" t="str">
        <f>"LH1362"</f>
        <v>LH1362</v>
      </c>
      <c r="C705" t="s">
        <v>673</v>
      </c>
    </row>
    <row r="706" spans="1:3" x14ac:dyDescent="0.25">
      <c r="A706" t="str">
        <f>"0611831172025"</f>
        <v>0611831172025</v>
      </c>
      <c r="B706" t="str">
        <f>"MQ6003"</f>
        <v>MQ6003</v>
      </c>
      <c r="C706" t="s">
        <v>675</v>
      </c>
    </row>
    <row r="707" spans="1:3" x14ac:dyDescent="0.25">
      <c r="A707" t="str">
        <f>"0611860554050"</f>
        <v>0611860554050</v>
      </c>
      <c r="B707" t="str">
        <f>"CE1700"</f>
        <v>CE1700</v>
      </c>
      <c r="C707" t="s">
        <v>676</v>
      </c>
    </row>
    <row r="708" spans="1:3" x14ac:dyDescent="0.25">
      <c r="A708" t="str">
        <f>"0611906644025"</f>
        <v>0611906644025</v>
      </c>
      <c r="B708" t="str">
        <f>"MQ7574"</f>
        <v>MQ7574</v>
      </c>
      <c r="C708" t="s">
        <v>677</v>
      </c>
    </row>
    <row r="709" spans="1:3" x14ac:dyDescent="0.25">
      <c r="A709" t="str">
        <f>"0611831173025"</f>
        <v>0611831173025</v>
      </c>
      <c r="B709" t="str">
        <f>"MQ6004"</f>
        <v>MQ6004</v>
      </c>
      <c r="C709" t="s">
        <v>678</v>
      </c>
    </row>
    <row r="710" spans="1:3" x14ac:dyDescent="0.25">
      <c r="A710" t="str">
        <f>"0611860555050"</f>
        <v>0611860555050</v>
      </c>
      <c r="B710" t="str">
        <f>"CE1701"</f>
        <v>CE1701</v>
      </c>
      <c r="C710" t="s">
        <v>679</v>
      </c>
    </row>
    <row r="711" spans="1:3" x14ac:dyDescent="0.25">
      <c r="A711" t="str">
        <f>"0611831174025"</f>
        <v>0611831174025</v>
      </c>
      <c r="B711" t="str">
        <f>"MQ6005"</f>
        <v>MQ6005</v>
      </c>
      <c r="C711" t="s">
        <v>680</v>
      </c>
    </row>
    <row r="712" spans="1:3" x14ac:dyDescent="0.25">
      <c r="A712" t="str">
        <f>"0611860556050"</f>
        <v>0611860556050</v>
      </c>
      <c r="B712" t="str">
        <f>"CE1702"</f>
        <v>CE1702</v>
      </c>
      <c r="C712" t="s">
        <v>681</v>
      </c>
    </row>
    <row r="713" spans="1:3" x14ac:dyDescent="0.25">
      <c r="A713" t="str">
        <f>"0611831175100"</f>
        <v>0611831175100</v>
      </c>
      <c r="B713" t="str">
        <f>"LH1363"</f>
        <v>LH1363</v>
      </c>
      <c r="C713" t="s">
        <v>674</v>
      </c>
    </row>
    <row r="714" spans="1:3" x14ac:dyDescent="0.25">
      <c r="A714" t="str">
        <f>"0611831176025"</f>
        <v>0611831176025</v>
      </c>
      <c r="B714" t="str">
        <f>"MC3683"</f>
        <v>MC3683</v>
      </c>
      <c r="C714" t="s">
        <v>682</v>
      </c>
    </row>
    <row r="715" spans="1:3" x14ac:dyDescent="0.25">
      <c r="A715" t="str">
        <f>"0611860557100"</f>
        <v>0611860557100</v>
      </c>
      <c r="B715" t="str">
        <f>"CN5021"</f>
        <v>CN5021</v>
      </c>
      <c r="C715" t="s">
        <v>683</v>
      </c>
    </row>
    <row r="716" spans="1:3" x14ac:dyDescent="0.25">
      <c r="A716" t="str">
        <f>"0611860558100"</f>
        <v>0611860558100</v>
      </c>
      <c r="B716" t="str">
        <f>"CN5022"</f>
        <v>CN5022</v>
      </c>
      <c r="C716" t="s">
        <v>684</v>
      </c>
    </row>
    <row r="717" spans="1:3" x14ac:dyDescent="0.25">
      <c r="A717" t="str">
        <f>"0611860559100"</f>
        <v>0611860559100</v>
      </c>
      <c r="B717" t="str">
        <f>"CN5023"</f>
        <v>CN5023</v>
      </c>
      <c r="C717" t="s">
        <v>685</v>
      </c>
    </row>
    <row r="718" spans="1:3" x14ac:dyDescent="0.25">
      <c r="A718" t="str">
        <f>"0611831177025"</f>
        <v>0611831177025</v>
      </c>
      <c r="B718" t="str">
        <f>"MC0127"</f>
        <v>MC0127</v>
      </c>
      <c r="C718" t="s">
        <v>686</v>
      </c>
    </row>
    <row r="719" spans="1:3" x14ac:dyDescent="0.25">
      <c r="A719" t="str">
        <f>"0611831178100"</f>
        <v>0611831178100</v>
      </c>
      <c r="B719" t="str">
        <f>"LH8836"</f>
        <v>LH8836</v>
      </c>
      <c r="C719" t="s">
        <v>687</v>
      </c>
    </row>
    <row r="720" spans="1:3" x14ac:dyDescent="0.25">
      <c r="A720" t="str">
        <f>"0611831179100"</f>
        <v>0611831179100</v>
      </c>
      <c r="B720" t="str">
        <f>"LH0626"</f>
        <v>LH0626</v>
      </c>
      <c r="C720" t="s">
        <v>688</v>
      </c>
    </row>
    <row r="721" spans="1:3" x14ac:dyDescent="0.25">
      <c r="A721" t="str">
        <f>"0611831181025"</f>
        <v>0611831181025</v>
      </c>
      <c r="B721" t="str">
        <f>"MC4379"</f>
        <v>MC4379</v>
      </c>
      <c r="C721" t="s">
        <v>689</v>
      </c>
    </row>
    <row r="722" spans="1:3" x14ac:dyDescent="0.25">
      <c r="A722" t="str">
        <f>"0611831182025"</f>
        <v>0611831182025</v>
      </c>
      <c r="B722" t="str">
        <f>"MC2688"</f>
        <v>MC2688</v>
      </c>
      <c r="C722" t="s">
        <v>690</v>
      </c>
    </row>
    <row r="723" spans="1:3" x14ac:dyDescent="0.25">
      <c r="A723" t="str">
        <f>"0611860560050"</f>
        <v>0611860560050</v>
      </c>
      <c r="B723" t="str">
        <f>"CR2008"</f>
        <v>CR2008</v>
      </c>
      <c r="C723" t="s">
        <v>691</v>
      </c>
    </row>
    <row r="724" spans="1:3" x14ac:dyDescent="0.25">
      <c r="A724" t="str">
        <f>"0611860561050"</f>
        <v>0611860561050</v>
      </c>
      <c r="B724" t="str">
        <f>"CR2009"</f>
        <v>CR2009</v>
      </c>
      <c r="C724" t="s">
        <v>692</v>
      </c>
    </row>
    <row r="725" spans="1:3" x14ac:dyDescent="0.25">
      <c r="A725" t="str">
        <f>"0611860562050"</f>
        <v>0611860562050</v>
      </c>
      <c r="B725" t="str">
        <f>"CR2010"</f>
        <v>CR2010</v>
      </c>
      <c r="C725" t="s">
        <v>693</v>
      </c>
    </row>
    <row r="726" spans="1:3" x14ac:dyDescent="0.25">
      <c r="A726" t="str">
        <f>"0611860563050"</f>
        <v>0611860563050</v>
      </c>
      <c r="B726" t="str">
        <f>"CR3059"</f>
        <v>CR3059</v>
      </c>
      <c r="C726" t="s">
        <v>694</v>
      </c>
    </row>
    <row r="727" spans="1:3" x14ac:dyDescent="0.25">
      <c r="A727" t="str">
        <f>"0611860564050"</f>
        <v>0611860564050</v>
      </c>
      <c r="B727" t="str">
        <f>"CR2606"</f>
        <v>CR2606</v>
      </c>
      <c r="C727" t="s">
        <v>13774</v>
      </c>
    </row>
    <row r="728" spans="1:3" x14ac:dyDescent="0.25">
      <c r="A728" t="str">
        <f>"0611860565050"</f>
        <v>0611860565050</v>
      </c>
      <c r="B728" t="str">
        <f>"CR3060"</f>
        <v>CR3060</v>
      </c>
      <c r="C728" t="s">
        <v>695</v>
      </c>
    </row>
    <row r="729" spans="1:3" x14ac:dyDescent="0.25">
      <c r="A729" t="str">
        <f>"0611860566050"</f>
        <v>0611860566050</v>
      </c>
      <c r="B729" t="str">
        <f>"CR3061"</f>
        <v>CR3061</v>
      </c>
      <c r="C729" t="s">
        <v>696</v>
      </c>
    </row>
    <row r="730" spans="1:3" x14ac:dyDescent="0.25">
      <c r="A730" t="str">
        <f>"0611860567050"</f>
        <v>0611860567050</v>
      </c>
      <c r="B730" t="str">
        <f>"CR3062"</f>
        <v>CR3062</v>
      </c>
      <c r="C730" t="s">
        <v>697</v>
      </c>
    </row>
    <row r="731" spans="1:3" x14ac:dyDescent="0.25">
      <c r="A731" t="str">
        <f>"0611860568050"</f>
        <v>0611860568050</v>
      </c>
      <c r="B731" t="str">
        <f>"CR2011"</f>
        <v>CR2011</v>
      </c>
      <c r="C731" t="s">
        <v>698</v>
      </c>
    </row>
    <row r="732" spans="1:3" x14ac:dyDescent="0.25">
      <c r="A732" t="str">
        <f>"0611860569050"</f>
        <v>0611860569050</v>
      </c>
      <c r="B732" t="str">
        <f>"CR3063"</f>
        <v>CR3063</v>
      </c>
      <c r="C732" t="s">
        <v>699</v>
      </c>
    </row>
    <row r="733" spans="1:3" x14ac:dyDescent="0.25">
      <c r="A733" t="str">
        <f>"0611860570050"</f>
        <v>0611860570050</v>
      </c>
      <c r="B733" t="str">
        <f>"CR2012"</f>
        <v>CR2012</v>
      </c>
      <c r="C733" t="s">
        <v>700</v>
      </c>
    </row>
    <row r="734" spans="1:3" x14ac:dyDescent="0.25">
      <c r="A734" t="str">
        <f>"0611860571050"</f>
        <v>0611860571050</v>
      </c>
      <c r="B734" t="str">
        <f>"CR2013"</f>
        <v>CR2013</v>
      </c>
      <c r="C734" t="s">
        <v>701</v>
      </c>
    </row>
    <row r="735" spans="1:3" x14ac:dyDescent="0.25">
      <c r="A735" t="str">
        <f>"0611839487100"</f>
        <v>0611839487100</v>
      </c>
      <c r="B735" t="str">
        <f>"LQ3114"</f>
        <v>LQ3114</v>
      </c>
      <c r="C735" t="s">
        <v>702</v>
      </c>
    </row>
    <row r="736" spans="1:3" x14ac:dyDescent="0.25">
      <c r="A736" t="str">
        <f>"0611839488100"</f>
        <v>0611839488100</v>
      </c>
      <c r="B736" t="str">
        <f>"LQ3782"</f>
        <v>LQ3782</v>
      </c>
      <c r="C736" t="s">
        <v>703</v>
      </c>
    </row>
    <row r="737" spans="1:3" x14ac:dyDescent="0.25">
      <c r="A737" t="str">
        <f>"0611839486100"</f>
        <v>0611839486100</v>
      </c>
      <c r="B737" t="str">
        <f>"LS0006"</f>
        <v>LS0006</v>
      </c>
      <c r="C737" t="s">
        <v>719</v>
      </c>
    </row>
    <row r="738" spans="1:3" x14ac:dyDescent="0.25">
      <c r="A738" t="str">
        <f>"0611839489100"</f>
        <v>0611839489100</v>
      </c>
      <c r="B738" t="str">
        <f>"LK1497"</f>
        <v>LK1497</v>
      </c>
      <c r="C738" t="s">
        <v>704</v>
      </c>
    </row>
    <row r="739" spans="1:3" x14ac:dyDescent="0.25">
      <c r="A739" t="str">
        <f>"0611839490100"</f>
        <v>0611839490100</v>
      </c>
      <c r="B739" t="str">
        <f>"LK3280"</f>
        <v>LK3280</v>
      </c>
      <c r="C739" t="s">
        <v>705</v>
      </c>
    </row>
    <row r="740" spans="1:3" x14ac:dyDescent="0.25">
      <c r="A740" t="str">
        <f>"0611860572050"</f>
        <v>0611860572050</v>
      </c>
      <c r="B740" t="str">
        <f>"CE0919"</f>
        <v>CE0919</v>
      </c>
      <c r="C740" t="s">
        <v>706</v>
      </c>
    </row>
    <row r="741" spans="1:3" x14ac:dyDescent="0.25">
      <c r="A741" t="str">
        <f>"0611860573050"</f>
        <v>0611860573050</v>
      </c>
      <c r="B741" t="str">
        <f>"CE1243"</f>
        <v>CE1243</v>
      </c>
      <c r="C741" t="s">
        <v>707</v>
      </c>
    </row>
    <row r="742" spans="1:3" x14ac:dyDescent="0.25">
      <c r="A742" t="str">
        <f>"0611860574050"</f>
        <v>0611860574050</v>
      </c>
      <c r="B742" t="str">
        <f>"CE0920"</f>
        <v>CE0920</v>
      </c>
      <c r="C742" t="s">
        <v>708</v>
      </c>
    </row>
    <row r="743" spans="1:3" x14ac:dyDescent="0.25">
      <c r="A743" t="str">
        <f>"0611860575050"</f>
        <v>0611860575050</v>
      </c>
      <c r="B743" t="str">
        <f>"CE1242"</f>
        <v>CE1242</v>
      </c>
      <c r="C743" t="s">
        <v>709</v>
      </c>
    </row>
    <row r="744" spans="1:3" x14ac:dyDescent="0.25">
      <c r="A744" t="str">
        <f>"0611860576050"</f>
        <v>0611860576050</v>
      </c>
      <c r="B744" t="str">
        <f>"CE0387"</f>
        <v>CE0387</v>
      </c>
      <c r="C744" t="s">
        <v>710</v>
      </c>
    </row>
    <row r="745" spans="1:3" x14ac:dyDescent="0.25">
      <c r="A745" t="str">
        <f>"0611860577050"</f>
        <v>0611860577050</v>
      </c>
      <c r="B745" t="str">
        <f>"CR4911"</f>
        <v>CR4911</v>
      </c>
      <c r="C745" t="s">
        <v>711</v>
      </c>
    </row>
    <row r="746" spans="1:3" x14ac:dyDescent="0.25">
      <c r="A746" t="str">
        <f>"0611860578050"</f>
        <v>0611860578050</v>
      </c>
      <c r="B746" t="str">
        <f>"CR3400"</f>
        <v>CR3400</v>
      </c>
      <c r="C746" t="s">
        <v>712</v>
      </c>
    </row>
    <row r="747" spans="1:3" x14ac:dyDescent="0.25">
      <c r="A747" t="str">
        <f>"0611860579050"</f>
        <v>0611860579050</v>
      </c>
      <c r="B747" t="str">
        <f>"CR4912"</f>
        <v>CR4912</v>
      </c>
      <c r="C747" t="s">
        <v>713</v>
      </c>
    </row>
    <row r="748" spans="1:3" x14ac:dyDescent="0.25">
      <c r="A748" t="str">
        <f>"0611839491100"</f>
        <v>0611839491100</v>
      </c>
      <c r="B748" t="str">
        <f>"LQ0744"</f>
        <v>LQ0744</v>
      </c>
      <c r="C748" t="s">
        <v>714</v>
      </c>
    </row>
    <row r="749" spans="1:3" x14ac:dyDescent="0.25">
      <c r="A749" t="str">
        <f>"0611860580050"</f>
        <v>0611860580050</v>
      </c>
      <c r="B749" t="str">
        <f>"CR4913"</f>
        <v>CR4913</v>
      </c>
      <c r="C749" t="s">
        <v>715</v>
      </c>
    </row>
    <row r="750" spans="1:3" x14ac:dyDescent="0.25">
      <c r="A750" t="str">
        <f>"0611860581050"</f>
        <v>0611860581050</v>
      </c>
      <c r="B750" t="str">
        <f>"CR3401"</f>
        <v>CR3401</v>
      </c>
      <c r="C750" t="s">
        <v>716</v>
      </c>
    </row>
    <row r="751" spans="1:3" x14ac:dyDescent="0.25">
      <c r="A751" t="str">
        <f>"0611839484100"</f>
        <v>0611839484100</v>
      </c>
      <c r="B751" t="str">
        <f>"MB7150"</f>
        <v>MB7150</v>
      </c>
      <c r="C751" t="s">
        <v>717</v>
      </c>
    </row>
    <row r="752" spans="1:3" x14ac:dyDescent="0.25">
      <c r="A752" t="str">
        <f>"0611839485025"</f>
        <v>0611839485025</v>
      </c>
      <c r="B752" t="str">
        <f>"MC1420"</f>
        <v>MC1420</v>
      </c>
      <c r="C752" t="s">
        <v>718</v>
      </c>
    </row>
    <row r="753" spans="1:3" x14ac:dyDescent="0.25">
      <c r="A753" t="str">
        <f>"0611839492100"</f>
        <v>0611839492100</v>
      </c>
      <c r="B753" t="str">
        <f>"LQ6172"</f>
        <v>LQ6172</v>
      </c>
      <c r="C753" t="s">
        <v>720</v>
      </c>
    </row>
    <row r="754" spans="1:3" x14ac:dyDescent="0.25">
      <c r="A754" t="str">
        <f>"0611839493100"</f>
        <v>0611839493100</v>
      </c>
      <c r="B754" t="str">
        <f>"LK1528"</f>
        <v>LK1528</v>
      </c>
      <c r="C754" t="s">
        <v>721</v>
      </c>
    </row>
    <row r="755" spans="1:3" x14ac:dyDescent="0.25">
      <c r="A755" t="str">
        <f>"0611839494100"</f>
        <v>0611839494100</v>
      </c>
      <c r="B755" t="str">
        <f>"LK6772"</f>
        <v>LK6772</v>
      </c>
      <c r="C755" t="s">
        <v>722</v>
      </c>
    </row>
    <row r="756" spans="1:3" x14ac:dyDescent="0.25">
      <c r="A756" t="str">
        <f>"0611831189100"</f>
        <v>0611831189100</v>
      </c>
      <c r="B756" t="str">
        <f>"LQ5913"</f>
        <v>LQ5913</v>
      </c>
      <c r="C756" t="s">
        <v>723</v>
      </c>
    </row>
    <row r="757" spans="1:3" x14ac:dyDescent="0.25">
      <c r="A757" t="str">
        <f>"0611831190100"</f>
        <v>0611831190100</v>
      </c>
      <c r="B757" t="str">
        <f>"LQ5993"</f>
        <v>LQ5993</v>
      </c>
      <c r="C757" t="s">
        <v>724</v>
      </c>
    </row>
    <row r="758" spans="1:3" x14ac:dyDescent="0.25">
      <c r="A758" t="str">
        <f>"0611831191100"</f>
        <v>0611831191100</v>
      </c>
      <c r="B758" t="str">
        <f>"LQ6177"</f>
        <v>LQ6177</v>
      </c>
      <c r="C758" t="s">
        <v>725</v>
      </c>
    </row>
    <row r="759" spans="1:3" x14ac:dyDescent="0.25">
      <c r="A759" t="str">
        <f>"0611831192100"</f>
        <v>0611831192100</v>
      </c>
      <c r="B759" t="str">
        <f>"LQ5830"</f>
        <v>LQ5830</v>
      </c>
      <c r="C759" t="s">
        <v>726</v>
      </c>
    </row>
    <row r="760" spans="1:3" x14ac:dyDescent="0.25">
      <c r="A760" t="str">
        <f>"0611831195100"</f>
        <v>0611831195100</v>
      </c>
      <c r="B760" t="str">
        <f>"LQ5256"</f>
        <v>LQ5256</v>
      </c>
      <c r="C760" t="s">
        <v>727</v>
      </c>
    </row>
    <row r="761" spans="1:3" x14ac:dyDescent="0.25">
      <c r="A761" t="str">
        <f>"0611831199100"</f>
        <v>0611831199100</v>
      </c>
      <c r="B761" t="str">
        <f>"LQ5439"</f>
        <v>LQ5439</v>
      </c>
      <c r="C761" t="s">
        <v>728</v>
      </c>
    </row>
    <row r="762" spans="1:3" x14ac:dyDescent="0.25">
      <c r="A762" t="str">
        <f>"0611831200100"</f>
        <v>0611831200100</v>
      </c>
      <c r="B762" t="str">
        <f>"LQ5496"</f>
        <v>LQ5496</v>
      </c>
      <c r="C762" t="s">
        <v>729</v>
      </c>
    </row>
    <row r="763" spans="1:3" x14ac:dyDescent="0.25">
      <c r="A763" t="str">
        <f>"0611831201100"</f>
        <v>0611831201100</v>
      </c>
      <c r="B763" t="str">
        <f>"LQ5994"</f>
        <v>LQ5994</v>
      </c>
      <c r="C763" t="s">
        <v>730</v>
      </c>
    </row>
    <row r="764" spans="1:3" x14ac:dyDescent="0.25">
      <c r="A764" t="str">
        <f>"0611831202100"</f>
        <v>0611831202100</v>
      </c>
      <c r="B764" t="str">
        <f>"LQ5103"</f>
        <v>LQ5103</v>
      </c>
      <c r="C764" t="s">
        <v>731</v>
      </c>
    </row>
    <row r="765" spans="1:3" x14ac:dyDescent="0.25">
      <c r="A765" t="str">
        <f>"0611831185100"</f>
        <v>0611831185100</v>
      </c>
      <c r="B765" t="str">
        <f>"LQ5678"</f>
        <v>LQ5678</v>
      </c>
      <c r="C765" t="s">
        <v>732</v>
      </c>
    </row>
    <row r="766" spans="1:3" x14ac:dyDescent="0.25">
      <c r="A766" t="str">
        <f>"0611831184100"</f>
        <v>0611831184100</v>
      </c>
      <c r="B766" t="str">
        <f>"LQ5497"</f>
        <v>LQ5497</v>
      </c>
      <c r="C766" t="s">
        <v>733</v>
      </c>
    </row>
    <row r="767" spans="1:3" x14ac:dyDescent="0.25">
      <c r="A767" t="str">
        <f>"0611856821100"</f>
        <v>0611856821100</v>
      </c>
      <c r="B767" t="str">
        <f>"LQ6249"</f>
        <v>LQ6249</v>
      </c>
      <c r="C767" t="s">
        <v>734</v>
      </c>
    </row>
    <row r="768" spans="1:3" x14ac:dyDescent="0.25">
      <c r="A768" t="str">
        <f>"0611831186100"</f>
        <v>0611831186100</v>
      </c>
      <c r="B768" t="str">
        <f>"LQ6178"</f>
        <v>LQ6178</v>
      </c>
      <c r="C768" t="s">
        <v>735</v>
      </c>
    </row>
    <row r="769" spans="1:3" x14ac:dyDescent="0.25">
      <c r="A769" t="str">
        <f>"0611856822100"</f>
        <v>0611856822100</v>
      </c>
      <c r="B769" t="str">
        <f>"LQ6250"</f>
        <v>LQ6250</v>
      </c>
      <c r="C769" t="s">
        <v>736</v>
      </c>
    </row>
    <row r="770" spans="1:3" x14ac:dyDescent="0.25">
      <c r="A770" t="str">
        <f>"0611831187100"</f>
        <v>0611831187100</v>
      </c>
      <c r="B770" t="str">
        <f>"LQ5912"</f>
        <v>LQ5912</v>
      </c>
      <c r="C770" t="s">
        <v>737</v>
      </c>
    </row>
    <row r="771" spans="1:3" x14ac:dyDescent="0.25">
      <c r="A771" t="str">
        <f>"0611831194100"</f>
        <v>0611831194100</v>
      </c>
      <c r="B771" t="str">
        <f>"LQ6036"</f>
        <v>LQ6036</v>
      </c>
      <c r="C771" t="s">
        <v>738</v>
      </c>
    </row>
    <row r="772" spans="1:3" x14ac:dyDescent="0.25">
      <c r="A772" t="str">
        <f>"0611831203100"</f>
        <v>0611831203100</v>
      </c>
      <c r="B772" t="str">
        <f>"LQ6088"</f>
        <v>LQ6088</v>
      </c>
      <c r="C772" t="s">
        <v>739</v>
      </c>
    </row>
    <row r="773" spans="1:3" x14ac:dyDescent="0.25">
      <c r="A773" t="str">
        <f>"0611831204100"</f>
        <v>0611831204100</v>
      </c>
      <c r="B773" t="str">
        <f>"LQ5832"</f>
        <v>LQ5832</v>
      </c>
      <c r="C773" t="s">
        <v>740</v>
      </c>
    </row>
    <row r="774" spans="1:3" x14ac:dyDescent="0.25">
      <c r="A774" t="str">
        <f>"0611831205100"</f>
        <v>0611831205100</v>
      </c>
      <c r="B774" t="str">
        <f>"LQ5420"</f>
        <v>LQ5420</v>
      </c>
      <c r="C774" t="s">
        <v>741</v>
      </c>
    </row>
    <row r="775" spans="1:3" x14ac:dyDescent="0.25">
      <c r="A775" t="str">
        <f>"0611831206100"</f>
        <v>0611831206100</v>
      </c>
      <c r="B775" t="str">
        <f>"LQ5915"</f>
        <v>LQ5915</v>
      </c>
      <c r="C775" t="s">
        <v>742</v>
      </c>
    </row>
    <row r="776" spans="1:3" x14ac:dyDescent="0.25">
      <c r="A776" t="str">
        <f>"0611831207100"</f>
        <v>0611831207100</v>
      </c>
      <c r="B776" t="str">
        <f>"LQ5258"</f>
        <v>LQ5258</v>
      </c>
      <c r="C776" t="s">
        <v>743</v>
      </c>
    </row>
    <row r="777" spans="1:3" x14ac:dyDescent="0.25">
      <c r="A777" t="str">
        <f>"0611839497100"</f>
        <v>0611839497100</v>
      </c>
      <c r="B777" t="str">
        <f>"LQ5592"</f>
        <v>LQ5592</v>
      </c>
      <c r="C777" t="s">
        <v>744</v>
      </c>
    </row>
    <row r="778" spans="1:3" x14ac:dyDescent="0.25">
      <c r="A778" t="str">
        <f>"0611839498100"</f>
        <v>0611839498100</v>
      </c>
      <c r="B778" t="str">
        <f>"LQ5593"</f>
        <v>LQ5593</v>
      </c>
      <c r="C778" t="s">
        <v>745</v>
      </c>
    </row>
    <row r="779" spans="1:3" x14ac:dyDescent="0.25">
      <c r="A779" t="str">
        <f>"0611839499100"</f>
        <v>0611839499100</v>
      </c>
      <c r="B779" t="str">
        <f>"LQ5595"</f>
        <v>LQ5595</v>
      </c>
      <c r="C779" t="s">
        <v>746</v>
      </c>
    </row>
    <row r="780" spans="1:3" x14ac:dyDescent="0.25">
      <c r="A780" t="str">
        <f>"0611839502100"</f>
        <v>0611839502100</v>
      </c>
      <c r="B780" t="str">
        <f>"LK3281"</f>
        <v>LK3281</v>
      </c>
      <c r="C780" t="s">
        <v>747</v>
      </c>
    </row>
    <row r="781" spans="1:3" x14ac:dyDescent="0.25">
      <c r="A781" t="str">
        <f>"0611839503100"</f>
        <v>0611839503100</v>
      </c>
      <c r="B781" t="str">
        <f>"LQ6222"</f>
        <v>LQ6222</v>
      </c>
      <c r="C781" t="s">
        <v>748</v>
      </c>
    </row>
    <row r="782" spans="1:3" x14ac:dyDescent="0.25">
      <c r="A782" t="str">
        <f>"0611839504100"</f>
        <v>0611839504100</v>
      </c>
      <c r="B782" t="str">
        <f>"LQ6223"</f>
        <v>LQ6223</v>
      </c>
      <c r="C782" t="s">
        <v>749</v>
      </c>
    </row>
    <row r="783" spans="1:3" x14ac:dyDescent="0.25">
      <c r="A783" t="str">
        <f>"0611839505100"</f>
        <v>0611839505100</v>
      </c>
      <c r="B783" t="str">
        <f>"LQ6224"</f>
        <v>LQ6224</v>
      </c>
      <c r="C783" t="s">
        <v>750</v>
      </c>
    </row>
    <row r="784" spans="1:3" x14ac:dyDescent="0.25">
      <c r="A784" t="str">
        <f>"0611856823100"</f>
        <v>0611856823100</v>
      </c>
      <c r="B784" t="str">
        <f>"LQ6259"</f>
        <v>LQ6259</v>
      </c>
      <c r="C784" t="s">
        <v>751</v>
      </c>
    </row>
    <row r="785" spans="1:3" x14ac:dyDescent="0.25">
      <c r="A785" t="str">
        <f>"0611839506100"</f>
        <v>0611839506100</v>
      </c>
      <c r="B785" t="str">
        <f>"LQ0069"</f>
        <v>LQ0069</v>
      </c>
      <c r="C785" t="s">
        <v>752</v>
      </c>
    </row>
    <row r="786" spans="1:3" x14ac:dyDescent="0.25">
      <c r="A786" t="str">
        <f>"0611860582050"</f>
        <v>0611860582050</v>
      </c>
      <c r="B786" t="str">
        <f>"CR2014"</f>
        <v>CR2014</v>
      </c>
      <c r="C786" t="s">
        <v>753</v>
      </c>
    </row>
    <row r="787" spans="1:3" x14ac:dyDescent="0.25">
      <c r="A787" t="str">
        <f>"0611839507100"</f>
        <v>0611839507100</v>
      </c>
      <c r="B787" t="str">
        <f>"LB0731"</f>
        <v>LB0731</v>
      </c>
      <c r="C787" t="s">
        <v>754</v>
      </c>
    </row>
    <row r="788" spans="1:3" x14ac:dyDescent="0.25">
      <c r="A788" t="str">
        <f>"0611831208025"</f>
        <v>0611831208025</v>
      </c>
      <c r="B788" t="str">
        <f>"MC0132"</f>
        <v>MC0132</v>
      </c>
      <c r="C788" t="s">
        <v>755</v>
      </c>
    </row>
    <row r="789" spans="1:3" x14ac:dyDescent="0.25">
      <c r="A789" t="str">
        <f>"0611836980100"</f>
        <v>0611836980100</v>
      </c>
      <c r="B789" t="str">
        <f>"LC5231"</f>
        <v>LC5231</v>
      </c>
      <c r="C789" t="s">
        <v>756</v>
      </c>
    </row>
    <row r="790" spans="1:3" x14ac:dyDescent="0.25">
      <c r="A790" t="str">
        <f>"0611836981100"</f>
        <v>0611836981100</v>
      </c>
      <c r="B790" t="str">
        <f>"LC3378"</f>
        <v>LC3378</v>
      </c>
      <c r="C790" t="s">
        <v>757</v>
      </c>
    </row>
    <row r="791" spans="1:3" x14ac:dyDescent="0.25">
      <c r="A791" t="str">
        <f>"0611836982100"</f>
        <v>0611836982100</v>
      </c>
      <c r="B791" t="str">
        <f>"LC3376"</f>
        <v>LC3376</v>
      </c>
      <c r="C791" t="s">
        <v>758</v>
      </c>
    </row>
    <row r="792" spans="1:3" x14ac:dyDescent="0.25">
      <c r="A792" t="str">
        <f>"0611836983100"</f>
        <v>0611836983100</v>
      </c>
      <c r="B792" t="str">
        <f>"LC9610"</f>
        <v>LC9610</v>
      </c>
      <c r="C792" t="s">
        <v>759</v>
      </c>
    </row>
    <row r="793" spans="1:3" x14ac:dyDescent="0.25">
      <c r="A793" t="str">
        <f>"0611836984100"</f>
        <v>0611836984100</v>
      </c>
      <c r="B793" t="str">
        <f>"LC5216"</f>
        <v>LC5216</v>
      </c>
      <c r="C793" t="s">
        <v>760</v>
      </c>
    </row>
    <row r="794" spans="1:3" x14ac:dyDescent="0.25">
      <c r="A794" t="str">
        <f>"0611836985100"</f>
        <v>0611836985100</v>
      </c>
      <c r="B794" t="str">
        <f>"LC9613"</f>
        <v>LC9613</v>
      </c>
      <c r="C794" t="s">
        <v>761</v>
      </c>
    </row>
    <row r="795" spans="1:3" x14ac:dyDescent="0.25">
      <c r="A795" t="str">
        <f>"0611836986100"</f>
        <v>0611836986100</v>
      </c>
      <c r="B795" t="str">
        <f>"LC5196"</f>
        <v>LC5196</v>
      </c>
      <c r="C795" t="s">
        <v>762</v>
      </c>
    </row>
    <row r="796" spans="1:3" x14ac:dyDescent="0.25">
      <c r="A796" t="str">
        <f>"0611884001025"</f>
        <v>0611884001025</v>
      </c>
      <c r="B796" t="str">
        <f>"MC0763"</f>
        <v>MC0763</v>
      </c>
      <c r="C796" t="s">
        <v>763</v>
      </c>
    </row>
    <row r="797" spans="1:3" x14ac:dyDescent="0.25">
      <c r="A797" t="str">
        <f>"0611856969025"</f>
        <v>0611856969025</v>
      </c>
      <c r="B797" t="str">
        <f>"MC4409"</f>
        <v>MC4409</v>
      </c>
      <c r="C797" t="s">
        <v>764</v>
      </c>
    </row>
    <row r="798" spans="1:3" x14ac:dyDescent="0.25">
      <c r="A798" t="str">
        <f>"0611835014100"</f>
        <v>0611835014100</v>
      </c>
      <c r="B798" t="str">
        <f>"LC5228"</f>
        <v>LC5228</v>
      </c>
      <c r="C798" t="s">
        <v>765</v>
      </c>
    </row>
    <row r="799" spans="1:3" x14ac:dyDescent="0.25">
      <c r="A799" t="str">
        <f>"0611836987100"</f>
        <v>0611836987100</v>
      </c>
      <c r="B799" t="str">
        <f>"LC5195"</f>
        <v>LC5195</v>
      </c>
      <c r="C799" t="s">
        <v>766</v>
      </c>
    </row>
    <row r="800" spans="1:3" x14ac:dyDescent="0.25">
      <c r="A800" t="str">
        <f>"0611836988100"</f>
        <v>0611836988100</v>
      </c>
      <c r="B800" t="str">
        <f>"LC9621"</f>
        <v>LC9621</v>
      </c>
      <c r="C800" t="s">
        <v>767</v>
      </c>
    </row>
    <row r="801" spans="1:3" x14ac:dyDescent="0.25">
      <c r="A801" t="str">
        <f>"0611884002025"</f>
        <v>0611884002025</v>
      </c>
      <c r="B801" t="str">
        <f>"MC4455"</f>
        <v>MC4455</v>
      </c>
      <c r="C801" t="s">
        <v>768</v>
      </c>
    </row>
    <row r="802" spans="1:3" x14ac:dyDescent="0.25">
      <c r="A802" t="str">
        <f>"0611836989100"</f>
        <v>0611836989100</v>
      </c>
      <c r="B802" t="str">
        <f>"LC0001"</f>
        <v>LC0001</v>
      </c>
      <c r="C802" t="s">
        <v>769</v>
      </c>
    </row>
    <row r="803" spans="1:3" x14ac:dyDescent="0.25">
      <c r="A803" t="str">
        <f>"0611836990100"</f>
        <v>0611836990100</v>
      </c>
      <c r="B803" t="str">
        <f>"LC3396"</f>
        <v>LC3396</v>
      </c>
      <c r="C803" t="s">
        <v>770</v>
      </c>
    </row>
    <row r="804" spans="1:3" x14ac:dyDescent="0.25">
      <c r="A804" t="str">
        <f>"0611884003025"</f>
        <v>0611884003025</v>
      </c>
      <c r="B804" t="str">
        <f>"MC4456"</f>
        <v>MC4456</v>
      </c>
      <c r="C804" t="s">
        <v>771</v>
      </c>
    </row>
    <row r="805" spans="1:3" x14ac:dyDescent="0.25">
      <c r="A805" t="str">
        <f>"0611906645100"</f>
        <v>0611906645100</v>
      </c>
      <c r="B805" t="str">
        <f>"LC9633"</f>
        <v>LC9633</v>
      </c>
      <c r="C805" t="s">
        <v>772</v>
      </c>
    </row>
    <row r="806" spans="1:3" x14ac:dyDescent="0.25">
      <c r="A806" t="str">
        <f>"0611856970100"</f>
        <v>0611856970100</v>
      </c>
      <c r="B806" t="str">
        <f>"LC3410"</f>
        <v>LC3410</v>
      </c>
      <c r="C806" t="s">
        <v>773</v>
      </c>
    </row>
    <row r="807" spans="1:3" x14ac:dyDescent="0.25">
      <c r="A807" t="str">
        <f>"0611906646100"</f>
        <v>0611906646100</v>
      </c>
      <c r="B807" t="str">
        <f>"LC3379"</f>
        <v>LC3379</v>
      </c>
      <c r="C807" t="s">
        <v>774</v>
      </c>
    </row>
    <row r="808" spans="1:3" x14ac:dyDescent="0.25">
      <c r="A808" t="str">
        <f>"0611835016100"</f>
        <v>0611835016100</v>
      </c>
      <c r="B808" t="str">
        <f>"LC5223"</f>
        <v>LC5223</v>
      </c>
      <c r="C808" t="s">
        <v>775</v>
      </c>
    </row>
    <row r="809" spans="1:3" x14ac:dyDescent="0.25">
      <c r="A809" t="str">
        <f>"0611836997100"</f>
        <v>0611836997100</v>
      </c>
      <c r="B809" t="str">
        <f>"LC9612"</f>
        <v>LC9612</v>
      </c>
      <c r="C809" t="s">
        <v>776</v>
      </c>
    </row>
    <row r="810" spans="1:3" x14ac:dyDescent="0.25">
      <c r="A810" t="str">
        <f>"0611836998025"</f>
        <v>0611836998025</v>
      </c>
      <c r="B810" t="str">
        <f>"MC2627"</f>
        <v>MC2627</v>
      </c>
      <c r="C810" t="s">
        <v>777</v>
      </c>
    </row>
    <row r="811" spans="1:3" x14ac:dyDescent="0.25">
      <c r="A811" t="str">
        <f>"0611836992100"</f>
        <v>0611836992100</v>
      </c>
      <c r="B811" t="str">
        <f>"LC5202"</f>
        <v>LC5202</v>
      </c>
      <c r="C811" t="s">
        <v>778</v>
      </c>
    </row>
    <row r="812" spans="1:3" x14ac:dyDescent="0.25">
      <c r="A812" t="str">
        <f>"0611836993200"</f>
        <v>0611836993200</v>
      </c>
      <c r="B812" t="str">
        <f>"KP5206"</f>
        <v>KP5206</v>
      </c>
      <c r="C812" t="s">
        <v>779</v>
      </c>
    </row>
    <row r="813" spans="1:3" x14ac:dyDescent="0.25">
      <c r="A813" t="str">
        <f>"0611836994025"</f>
        <v>0611836994025</v>
      </c>
      <c r="B813" t="str">
        <f>"MC0765"</f>
        <v>MC0765</v>
      </c>
      <c r="C813" t="s">
        <v>780</v>
      </c>
    </row>
    <row r="814" spans="1:3" x14ac:dyDescent="0.25">
      <c r="A814" t="str">
        <f>"0611836995100"</f>
        <v>0611836995100</v>
      </c>
      <c r="B814" t="str">
        <f>"LC3382"</f>
        <v>LC3382</v>
      </c>
      <c r="C814" t="s">
        <v>781</v>
      </c>
    </row>
    <row r="815" spans="1:3" x14ac:dyDescent="0.25">
      <c r="A815" t="str">
        <f>"0611835018100"</f>
        <v>0611835018100</v>
      </c>
      <c r="B815" t="str">
        <f>"LC5205"</f>
        <v>LC5205</v>
      </c>
      <c r="C815" t="s">
        <v>782</v>
      </c>
    </row>
    <row r="816" spans="1:3" x14ac:dyDescent="0.25">
      <c r="A816" t="str">
        <f>"0611836999100"</f>
        <v>0611836999100</v>
      </c>
      <c r="B816" t="str">
        <f>"LC5206"</f>
        <v>LC5206</v>
      </c>
      <c r="C816" t="s">
        <v>783</v>
      </c>
    </row>
    <row r="817" spans="1:3" x14ac:dyDescent="0.25">
      <c r="A817" t="str">
        <f>"0611837000200"</f>
        <v>0611837000200</v>
      </c>
      <c r="B817" t="str">
        <f>"KP5199"</f>
        <v>KP5199</v>
      </c>
      <c r="C817" t="s">
        <v>784</v>
      </c>
    </row>
    <row r="818" spans="1:3" x14ac:dyDescent="0.25">
      <c r="A818" t="str">
        <f>"0611837001025"</f>
        <v>0611837001025</v>
      </c>
      <c r="B818" t="str">
        <f>"MC0767"</f>
        <v>MC0767</v>
      </c>
      <c r="C818" t="s">
        <v>785</v>
      </c>
    </row>
    <row r="819" spans="1:3" x14ac:dyDescent="0.25">
      <c r="A819" t="str">
        <f>"0611884004025"</f>
        <v>0611884004025</v>
      </c>
      <c r="B819" t="str">
        <f>"MC4457"</f>
        <v>MC4457</v>
      </c>
      <c r="C819" t="s">
        <v>786</v>
      </c>
    </row>
    <row r="820" spans="1:3" x14ac:dyDescent="0.25">
      <c r="A820" t="str">
        <f>"0611837002025"</f>
        <v>0611837002025</v>
      </c>
      <c r="B820" t="str">
        <f>"MC2324"</f>
        <v>MC2324</v>
      </c>
      <c r="C820" t="s">
        <v>787</v>
      </c>
    </row>
    <row r="821" spans="1:3" x14ac:dyDescent="0.25">
      <c r="A821" t="str">
        <f>"0611906647100"</f>
        <v>0611906647100</v>
      </c>
      <c r="B821" t="str">
        <f>"LC9632"</f>
        <v>LC9632</v>
      </c>
      <c r="C821" t="s">
        <v>788</v>
      </c>
    </row>
    <row r="822" spans="1:3" x14ac:dyDescent="0.25">
      <c r="A822" t="str">
        <f>"0611906648025"</f>
        <v>0611906648025</v>
      </c>
      <c r="B822" t="str">
        <f>"MC4547"</f>
        <v>MC4547</v>
      </c>
      <c r="C822" t="s">
        <v>789</v>
      </c>
    </row>
    <row r="823" spans="1:3" x14ac:dyDescent="0.25">
      <c r="A823" t="str">
        <f>"0611837003100"</f>
        <v>0611837003100</v>
      </c>
      <c r="B823" t="str">
        <f>"LC5207"</f>
        <v>LC5207</v>
      </c>
      <c r="C823" t="s">
        <v>790</v>
      </c>
    </row>
    <row r="824" spans="1:3" x14ac:dyDescent="0.25">
      <c r="A824" t="str">
        <f>"0611837004025"</f>
        <v>0611837004025</v>
      </c>
      <c r="B824" t="str">
        <f>"MC0768"</f>
        <v>MC0768</v>
      </c>
      <c r="C824" t="s">
        <v>791</v>
      </c>
    </row>
    <row r="825" spans="1:3" x14ac:dyDescent="0.25">
      <c r="A825" t="str">
        <f>"0611837005100"</f>
        <v>0611837005100</v>
      </c>
      <c r="B825" t="str">
        <f>"LC5208"</f>
        <v>LC5208</v>
      </c>
      <c r="C825" t="s">
        <v>792</v>
      </c>
    </row>
    <row r="826" spans="1:3" x14ac:dyDescent="0.25">
      <c r="A826" t="str">
        <f>"0611837006100"</f>
        <v>0611837006100</v>
      </c>
      <c r="B826" t="str">
        <f>"LC5209"</f>
        <v>LC5209</v>
      </c>
      <c r="C826" t="s">
        <v>793</v>
      </c>
    </row>
    <row r="827" spans="1:3" x14ac:dyDescent="0.25">
      <c r="A827" t="str">
        <f>"0611837007100"</f>
        <v>0611837007100</v>
      </c>
      <c r="B827" t="str">
        <f>"LC5219"</f>
        <v>LC5219</v>
      </c>
      <c r="C827" t="s">
        <v>794</v>
      </c>
    </row>
    <row r="828" spans="1:3" x14ac:dyDescent="0.25">
      <c r="A828" t="str">
        <f>"0611837008100"</f>
        <v>0611837008100</v>
      </c>
      <c r="B828" t="str">
        <f>"LC5226"</f>
        <v>LC5226</v>
      </c>
      <c r="C828" t="s">
        <v>795</v>
      </c>
    </row>
    <row r="829" spans="1:3" x14ac:dyDescent="0.25">
      <c r="A829" t="str">
        <f>"0611837009100"</f>
        <v>0611837009100</v>
      </c>
      <c r="B829" t="str">
        <f>"LC5222"</f>
        <v>LC5222</v>
      </c>
      <c r="C829" t="s">
        <v>796</v>
      </c>
    </row>
    <row r="830" spans="1:3" x14ac:dyDescent="0.25">
      <c r="A830" t="str">
        <f>"0611835019100"</f>
        <v>0611835019100</v>
      </c>
      <c r="B830" t="str">
        <f>"LC3383"</f>
        <v>LC3383</v>
      </c>
      <c r="C830" t="s">
        <v>797</v>
      </c>
    </row>
    <row r="831" spans="1:3" x14ac:dyDescent="0.25">
      <c r="A831" t="str">
        <f>"0611884005025"</f>
        <v>0611884005025</v>
      </c>
      <c r="B831" t="str">
        <f>"MC4458"</f>
        <v>MC4458</v>
      </c>
      <c r="C831" t="s">
        <v>798</v>
      </c>
    </row>
    <row r="832" spans="1:3" x14ac:dyDescent="0.25">
      <c r="A832" t="str">
        <f>"0611837010100"</f>
        <v>0611837010100</v>
      </c>
      <c r="B832" t="str">
        <f>"LC3384"</f>
        <v>LC3384</v>
      </c>
      <c r="C832" t="s">
        <v>799</v>
      </c>
    </row>
    <row r="833" spans="1:3" x14ac:dyDescent="0.25">
      <c r="A833" t="str">
        <f>"0611884006025"</f>
        <v>0611884006025</v>
      </c>
      <c r="B833" t="str">
        <f>"MC4459"</f>
        <v>MC4459</v>
      </c>
      <c r="C833" t="s">
        <v>800</v>
      </c>
    </row>
    <row r="834" spans="1:3" x14ac:dyDescent="0.25">
      <c r="A834" t="str">
        <f>"0611837011100"</f>
        <v>0611837011100</v>
      </c>
      <c r="B834" t="str">
        <f>"LC9622"</f>
        <v>LC9622</v>
      </c>
      <c r="C834" t="s">
        <v>801</v>
      </c>
    </row>
    <row r="835" spans="1:3" x14ac:dyDescent="0.25">
      <c r="A835" t="str">
        <f>"0611862532100"</f>
        <v>0611862532100</v>
      </c>
      <c r="B835" t="str">
        <f>"CN2333"</f>
        <v>CN2333</v>
      </c>
      <c r="C835" t="s">
        <v>802</v>
      </c>
    </row>
    <row r="836" spans="1:3" x14ac:dyDescent="0.25">
      <c r="A836" t="str">
        <f>"0611837012025"</f>
        <v>0611837012025</v>
      </c>
      <c r="B836" t="str">
        <f>"MQ0039"</f>
        <v>MQ0039</v>
      </c>
      <c r="C836" t="s">
        <v>803</v>
      </c>
    </row>
    <row r="837" spans="1:3" x14ac:dyDescent="0.25">
      <c r="A837" t="str">
        <f>"0611837013100"</f>
        <v>0611837013100</v>
      </c>
      <c r="B837" t="str">
        <f>"LC5233"</f>
        <v>LC5233</v>
      </c>
      <c r="C837" t="s">
        <v>804</v>
      </c>
    </row>
    <row r="838" spans="1:3" x14ac:dyDescent="0.25">
      <c r="A838" t="str">
        <f>"0611837014100"</f>
        <v>0611837014100</v>
      </c>
      <c r="B838" t="str">
        <f>"LC5217"</f>
        <v>LC5217</v>
      </c>
      <c r="C838" t="s">
        <v>805</v>
      </c>
    </row>
    <row r="839" spans="1:3" x14ac:dyDescent="0.25">
      <c r="A839" t="str">
        <f>"0611837015025"</f>
        <v>0611837015025</v>
      </c>
      <c r="B839" t="str">
        <f>"MC0770"</f>
        <v>MC0770</v>
      </c>
      <c r="C839" t="s">
        <v>806</v>
      </c>
    </row>
    <row r="840" spans="1:3" x14ac:dyDescent="0.25">
      <c r="A840" t="str">
        <f>"0611837016100"</f>
        <v>0611837016100</v>
      </c>
      <c r="B840" t="str">
        <f>"LK5631"</f>
        <v>LK5631</v>
      </c>
      <c r="C840" t="s">
        <v>807</v>
      </c>
    </row>
    <row r="841" spans="1:3" x14ac:dyDescent="0.25">
      <c r="A841" t="str">
        <f>"0611837017100"</f>
        <v>0611837017100</v>
      </c>
      <c r="B841" t="str">
        <f>"LC5221"</f>
        <v>LC5221</v>
      </c>
      <c r="C841" t="s">
        <v>808</v>
      </c>
    </row>
    <row r="842" spans="1:3" x14ac:dyDescent="0.25">
      <c r="A842" t="str">
        <f>"0611884007025"</f>
        <v>0611884007025</v>
      </c>
      <c r="B842" t="str">
        <f>"MC4460"</f>
        <v>MC4460</v>
      </c>
      <c r="C842" t="s">
        <v>809</v>
      </c>
    </row>
    <row r="843" spans="1:3" x14ac:dyDescent="0.25">
      <c r="A843" t="str">
        <f>"0611884008025"</f>
        <v>0611884008025</v>
      </c>
      <c r="B843" t="str">
        <f>"MC4461"</f>
        <v>MC4461</v>
      </c>
      <c r="C843" t="s">
        <v>811</v>
      </c>
    </row>
    <row r="844" spans="1:3" x14ac:dyDescent="0.25">
      <c r="A844" t="str">
        <f>"0611835020100"</f>
        <v>0611835020100</v>
      </c>
      <c r="B844" t="str">
        <f>"LC0002"</f>
        <v>LC0002</v>
      </c>
      <c r="C844" t="s">
        <v>810</v>
      </c>
    </row>
    <row r="845" spans="1:3" x14ac:dyDescent="0.25">
      <c r="A845" t="str">
        <f>"0611835021100"</f>
        <v>0611835021100</v>
      </c>
      <c r="B845" t="str">
        <f>"LC0003"</f>
        <v>LC0003</v>
      </c>
      <c r="C845" t="s">
        <v>812</v>
      </c>
    </row>
    <row r="846" spans="1:3" x14ac:dyDescent="0.25">
      <c r="A846" t="str">
        <f>"0611835022100"</f>
        <v>0611835022100</v>
      </c>
      <c r="B846" t="str">
        <f>"LC0004"</f>
        <v>LC0004</v>
      </c>
      <c r="C846" t="s">
        <v>814</v>
      </c>
    </row>
    <row r="847" spans="1:3" x14ac:dyDescent="0.25">
      <c r="A847" t="str">
        <f>"0611884009025"</f>
        <v>0611884009025</v>
      </c>
      <c r="B847" t="str">
        <f>"MC4462"</f>
        <v>MC4462</v>
      </c>
      <c r="C847" t="s">
        <v>813</v>
      </c>
    </row>
    <row r="848" spans="1:3" x14ac:dyDescent="0.25">
      <c r="A848" t="str">
        <f>"0611884011025"</f>
        <v>0611884011025</v>
      </c>
      <c r="B848" t="str">
        <f>"MC4464"</f>
        <v>MC4464</v>
      </c>
      <c r="C848" t="s">
        <v>815</v>
      </c>
    </row>
    <row r="849" spans="1:3" x14ac:dyDescent="0.25">
      <c r="A849" t="str">
        <f>"0611837018100"</f>
        <v>0611837018100</v>
      </c>
      <c r="B849" t="str">
        <f>"LC5200"</f>
        <v>LC5200</v>
      </c>
      <c r="C849" t="s">
        <v>816</v>
      </c>
    </row>
    <row r="850" spans="1:3" x14ac:dyDescent="0.25">
      <c r="A850" t="str">
        <f>"0611837019025"</f>
        <v>0611837019025</v>
      </c>
      <c r="B850" t="str">
        <f>"MC0771"</f>
        <v>MC0771</v>
      </c>
      <c r="C850" t="s">
        <v>817</v>
      </c>
    </row>
    <row r="851" spans="1:3" x14ac:dyDescent="0.25">
      <c r="A851" t="str">
        <f>"0611835023100"</f>
        <v>0611835023100</v>
      </c>
      <c r="B851" t="str">
        <f>"LC5230"</f>
        <v>LC5230</v>
      </c>
      <c r="C851" t="s">
        <v>818</v>
      </c>
    </row>
    <row r="852" spans="1:3" x14ac:dyDescent="0.25">
      <c r="A852" t="str">
        <f>"0611835024025"</f>
        <v>0611835024025</v>
      </c>
      <c r="B852" t="str">
        <f>"MC0772"</f>
        <v>MC0772</v>
      </c>
      <c r="C852" t="s">
        <v>819</v>
      </c>
    </row>
    <row r="853" spans="1:3" x14ac:dyDescent="0.25">
      <c r="A853" t="str">
        <f>"0611837020100"</f>
        <v>0611837020100</v>
      </c>
      <c r="B853" t="str">
        <f>"LC5220"</f>
        <v>LC5220</v>
      </c>
      <c r="C853" t="s">
        <v>820</v>
      </c>
    </row>
    <row r="854" spans="1:3" x14ac:dyDescent="0.25">
      <c r="A854" t="str">
        <f>"0611837021200"</f>
        <v>0611837021200</v>
      </c>
      <c r="B854" t="str">
        <f>"KP5220"</f>
        <v>KP5220</v>
      </c>
      <c r="C854" t="s">
        <v>821</v>
      </c>
    </row>
    <row r="855" spans="1:3" x14ac:dyDescent="0.25">
      <c r="A855" t="str">
        <f>"0611837022025"</f>
        <v>0611837022025</v>
      </c>
      <c r="B855" t="str">
        <f>"MC0773"</f>
        <v>MC0773</v>
      </c>
      <c r="C855" t="s">
        <v>822</v>
      </c>
    </row>
    <row r="856" spans="1:3" x14ac:dyDescent="0.25">
      <c r="A856" t="str">
        <f>"0611837023100"</f>
        <v>0611837023100</v>
      </c>
      <c r="B856" t="str">
        <f>"LC5212"</f>
        <v>LC5212</v>
      </c>
      <c r="C856" t="s">
        <v>823</v>
      </c>
    </row>
    <row r="857" spans="1:3" x14ac:dyDescent="0.25">
      <c r="A857" t="str">
        <f>"0611884012025"</f>
        <v>0611884012025</v>
      </c>
      <c r="B857" t="str">
        <f>"MC4465"</f>
        <v>MC4465</v>
      </c>
      <c r="C857" t="s">
        <v>824</v>
      </c>
    </row>
    <row r="858" spans="1:3" x14ac:dyDescent="0.25">
      <c r="A858" t="str">
        <f>"0611837024100"</f>
        <v>0611837024100</v>
      </c>
      <c r="B858" t="str">
        <f>"LC5213"</f>
        <v>LC5213</v>
      </c>
      <c r="C858" t="s">
        <v>825</v>
      </c>
    </row>
    <row r="859" spans="1:3" x14ac:dyDescent="0.25">
      <c r="A859" t="str">
        <f>"0611835025100"</f>
        <v>0611835025100</v>
      </c>
      <c r="B859" t="str">
        <f>"LC0005"</f>
        <v>LC0005</v>
      </c>
      <c r="C859" t="s">
        <v>826</v>
      </c>
    </row>
    <row r="860" spans="1:3" x14ac:dyDescent="0.25">
      <c r="A860" t="str">
        <f>"0611837025100"</f>
        <v>0611837025100</v>
      </c>
      <c r="B860" t="str">
        <f>"LC3409"</f>
        <v>LC3409</v>
      </c>
      <c r="C860" t="s">
        <v>827</v>
      </c>
    </row>
    <row r="861" spans="1:3" x14ac:dyDescent="0.25">
      <c r="A861" t="str">
        <f>"0611837026100"</f>
        <v>0611837026100</v>
      </c>
      <c r="B861" t="str">
        <f>"LC5199"</f>
        <v>LC5199</v>
      </c>
      <c r="C861" t="s">
        <v>828</v>
      </c>
    </row>
    <row r="862" spans="1:3" x14ac:dyDescent="0.25">
      <c r="A862" t="str">
        <f>"0611856972025"</f>
        <v>0611856972025</v>
      </c>
      <c r="B862" t="str">
        <f>"MC4411"</f>
        <v>MC4411</v>
      </c>
      <c r="C862" t="s">
        <v>829</v>
      </c>
    </row>
    <row r="863" spans="1:3" x14ac:dyDescent="0.25">
      <c r="A863" t="str">
        <f>"0611884013025"</f>
        <v>0611884013025</v>
      </c>
      <c r="B863" t="str">
        <f>"MC0762"</f>
        <v>MC0762</v>
      </c>
      <c r="C863" t="s">
        <v>830</v>
      </c>
    </row>
    <row r="864" spans="1:3" x14ac:dyDescent="0.25">
      <c r="A864" t="str">
        <f>"0611836044100"</f>
        <v>0611836044100</v>
      </c>
      <c r="B864" t="str">
        <f>"LC5214"</f>
        <v>LC5214</v>
      </c>
      <c r="C864" t="s">
        <v>831</v>
      </c>
    </row>
    <row r="865" spans="1:3" x14ac:dyDescent="0.25">
      <c r="A865" t="str">
        <f>"0611906649100"</f>
        <v>0611906649100</v>
      </c>
      <c r="B865" t="str">
        <f>"LL8349"</f>
        <v>LL8349</v>
      </c>
      <c r="C865" t="s">
        <v>834</v>
      </c>
    </row>
    <row r="866" spans="1:3" x14ac:dyDescent="0.25">
      <c r="A866" t="str">
        <f>"0611906650100"</f>
        <v>0611906650100</v>
      </c>
      <c r="B866" t="str">
        <f>"LL8351"</f>
        <v>LL8351</v>
      </c>
      <c r="C866" t="s">
        <v>853</v>
      </c>
    </row>
    <row r="867" spans="1:3" x14ac:dyDescent="0.25">
      <c r="A867" t="str">
        <f>"0611838332100"</f>
        <v>0611838332100</v>
      </c>
      <c r="B867" t="str">
        <f>"LL0270"</f>
        <v>LL0270</v>
      </c>
      <c r="C867" t="s">
        <v>832</v>
      </c>
    </row>
    <row r="868" spans="1:3" x14ac:dyDescent="0.25">
      <c r="A868" t="str">
        <f>"0611838333100"</f>
        <v>0611838333100</v>
      </c>
      <c r="B868" t="str">
        <f>"LL0271"</f>
        <v>LL0271</v>
      </c>
      <c r="C868" t="s">
        <v>833</v>
      </c>
    </row>
    <row r="869" spans="1:3" x14ac:dyDescent="0.25">
      <c r="A869" t="str">
        <f>"0611838331100"</f>
        <v>0611838331100</v>
      </c>
      <c r="B869" t="str">
        <f>"LL0265"</f>
        <v>LL0265</v>
      </c>
      <c r="C869" t="s">
        <v>835</v>
      </c>
    </row>
    <row r="870" spans="1:3" x14ac:dyDescent="0.25">
      <c r="A870" t="str">
        <f>"0611838336100"</f>
        <v>0611838336100</v>
      </c>
      <c r="B870" t="str">
        <f>"LL8018"</f>
        <v>LL8018</v>
      </c>
      <c r="C870" t="s">
        <v>836</v>
      </c>
    </row>
    <row r="871" spans="1:3" x14ac:dyDescent="0.25">
      <c r="A871" t="str">
        <f>"0611838337100"</f>
        <v>0611838337100</v>
      </c>
      <c r="B871" t="str">
        <f>"LL0113"</f>
        <v>LL0113</v>
      </c>
      <c r="C871" t="s">
        <v>837</v>
      </c>
    </row>
    <row r="872" spans="1:3" x14ac:dyDescent="0.25">
      <c r="A872" t="str">
        <f>"0611838338100"</f>
        <v>0611838338100</v>
      </c>
      <c r="B872" t="str">
        <f>"LL8071"</f>
        <v>LL8071</v>
      </c>
      <c r="C872" t="s">
        <v>838</v>
      </c>
    </row>
    <row r="873" spans="1:3" x14ac:dyDescent="0.25">
      <c r="A873" t="str">
        <f>"0611838339200"</f>
        <v>0611838339200</v>
      </c>
      <c r="B873" t="str">
        <f>"KY0267"</f>
        <v>KY0267</v>
      </c>
      <c r="C873" t="s">
        <v>839</v>
      </c>
    </row>
    <row r="874" spans="1:3" x14ac:dyDescent="0.25">
      <c r="A874" t="str">
        <f>"0611838340100"</f>
        <v>0611838340100</v>
      </c>
      <c r="B874" t="str">
        <f>"LL8158"</f>
        <v>LL8158</v>
      </c>
      <c r="C874" t="s">
        <v>840</v>
      </c>
    </row>
    <row r="875" spans="1:3" x14ac:dyDescent="0.25">
      <c r="A875" t="str">
        <f>"0611838341100"</f>
        <v>0611838341100</v>
      </c>
      <c r="B875" t="str">
        <f>"LL0268"</f>
        <v>LL0268</v>
      </c>
      <c r="C875" t="s">
        <v>841</v>
      </c>
    </row>
    <row r="876" spans="1:3" x14ac:dyDescent="0.25">
      <c r="A876" t="str">
        <f>"0611856824100"</f>
        <v>0611856824100</v>
      </c>
      <c r="B876" t="str">
        <f>"LL5036"</f>
        <v>LL5036</v>
      </c>
      <c r="C876" t="s">
        <v>842</v>
      </c>
    </row>
    <row r="877" spans="1:3" x14ac:dyDescent="0.25">
      <c r="A877" t="str">
        <f>"0611838342100"</f>
        <v>0611838342100</v>
      </c>
      <c r="B877" t="str">
        <f>"LL8072"</f>
        <v>LL8072</v>
      </c>
      <c r="C877" t="s">
        <v>843</v>
      </c>
    </row>
    <row r="878" spans="1:3" x14ac:dyDescent="0.25">
      <c r="A878" t="str">
        <f>"0611838343100"</f>
        <v>0611838343100</v>
      </c>
      <c r="B878" t="str">
        <f>"LL8119"</f>
        <v>LL8119</v>
      </c>
      <c r="C878" t="s">
        <v>844</v>
      </c>
    </row>
    <row r="879" spans="1:3" x14ac:dyDescent="0.25">
      <c r="A879" t="str">
        <f>"0611838344100"</f>
        <v>0611838344100</v>
      </c>
      <c r="B879" t="str">
        <f>"LL5004"</f>
        <v>LL5004</v>
      </c>
      <c r="C879" t="s">
        <v>845</v>
      </c>
    </row>
    <row r="880" spans="1:3" x14ac:dyDescent="0.25">
      <c r="A880" t="str">
        <f>"0611838345100"</f>
        <v>0611838345100</v>
      </c>
      <c r="B880" t="str">
        <f>"LL5005"</f>
        <v>LL5005</v>
      </c>
      <c r="C880" t="s">
        <v>846</v>
      </c>
    </row>
    <row r="881" spans="1:3" x14ac:dyDescent="0.25">
      <c r="A881" t="str">
        <f>"0611838346100"</f>
        <v>0611838346100</v>
      </c>
      <c r="B881" t="str">
        <f>"LL0279"</f>
        <v>LL0279</v>
      </c>
      <c r="C881" t="s">
        <v>847</v>
      </c>
    </row>
    <row r="882" spans="1:3" x14ac:dyDescent="0.25">
      <c r="A882" t="str">
        <f>"0611838347100"</f>
        <v>0611838347100</v>
      </c>
      <c r="B882" t="str">
        <f>"LL8159"</f>
        <v>LL8159</v>
      </c>
      <c r="C882" t="s">
        <v>848</v>
      </c>
    </row>
    <row r="883" spans="1:3" x14ac:dyDescent="0.25">
      <c r="A883" t="str">
        <f>"0611838348100"</f>
        <v>0611838348100</v>
      </c>
      <c r="B883" t="str">
        <f>"LB8400"</f>
        <v>LB8400</v>
      </c>
      <c r="C883" t="s">
        <v>849</v>
      </c>
    </row>
    <row r="884" spans="1:3" x14ac:dyDescent="0.25">
      <c r="A884" t="str">
        <f>"0611838349100"</f>
        <v>0611838349100</v>
      </c>
      <c r="B884" t="str">
        <f>"LL8336"</f>
        <v>LL8336</v>
      </c>
      <c r="C884" t="s">
        <v>850</v>
      </c>
    </row>
    <row r="885" spans="1:3" x14ac:dyDescent="0.25">
      <c r="A885" t="str">
        <f>"0611838350100"</f>
        <v>0611838350100</v>
      </c>
      <c r="B885" t="str">
        <f>"LL5006"</f>
        <v>LL5006</v>
      </c>
      <c r="C885" t="s">
        <v>851</v>
      </c>
    </row>
    <row r="886" spans="1:3" x14ac:dyDescent="0.25">
      <c r="A886" t="str">
        <f>"0611838351100"</f>
        <v>0611838351100</v>
      </c>
      <c r="B886" t="str">
        <f>"LL5007"</f>
        <v>LL5007</v>
      </c>
      <c r="C886" t="s">
        <v>852</v>
      </c>
    </row>
    <row r="887" spans="1:3" x14ac:dyDescent="0.25">
      <c r="A887" t="str">
        <f>"0611838352100"</f>
        <v>0611838352100</v>
      </c>
      <c r="B887" t="str">
        <f>"LL8073"</f>
        <v>LL8073</v>
      </c>
      <c r="C887" t="s">
        <v>854</v>
      </c>
    </row>
    <row r="888" spans="1:3" x14ac:dyDescent="0.25">
      <c r="A888" t="str">
        <f>"0611831210100"</f>
        <v>0611831210100</v>
      </c>
      <c r="B888" t="str">
        <f>"LF0800"</f>
        <v>LF0800</v>
      </c>
      <c r="C888" t="s">
        <v>855</v>
      </c>
    </row>
    <row r="889" spans="1:3" x14ac:dyDescent="0.25">
      <c r="A889" t="str">
        <f>"0611831752100"</f>
        <v>0611831752100</v>
      </c>
      <c r="B889" t="str">
        <f>"LL8160"</f>
        <v>LL8160</v>
      </c>
      <c r="C889" t="s">
        <v>856</v>
      </c>
    </row>
    <row r="890" spans="1:3" x14ac:dyDescent="0.25">
      <c r="A890" t="str">
        <f>"0611831750100"</f>
        <v>0611831750100</v>
      </c>
      <c r="B890" t="str">
        <f>"LL0110"</f>
        <v>LL0110</v>
      </c>
      <c r="C890" t="s">
        <v>857</v>
      </c>
    </row>
    <row r="891" spans="1:3" x14ac:dyDescent="0.25">
      <c r="A891" t="str">
        <f>"0611831211100"</f>
        <v>0611831211100</v>
      </c>
      <c r="B891" t="str">
        <f>"LQ3630"</f>
        <v>LQ3630</v>
      </c>
      <c r="C891" t="s">
        <v>858</v>
      </c>
    </row>
    <row r="892" spans="1:3" x14ac:dyDescent="0.25">
      <c r="A892" t="str">
        <f>"0611893335050"</f>
        <v>0611893335050</v>
      </c>
      <c r="B892" t="str">
        <f>"CE1757"</f>
        <v>CE1757</v>
      </c>
      <c r="C892" t="s">
        <v>859</v>
      </c>
    </row>
    <row r="893" spans="1:3" x14ac:dyDescent="0.25">
      <c r="A893" t="str">
        <f>"0611884014050"</f>
        <v>0611884014050</v>
      </c>
      <c r="B893" t="str">
        <f>"CE1745"</f>
        <v>CE1745</v>
      </c>
      <c r="C893" t="s">
        <v>860</v>
      </c>
    </row>
    <row r="894" spans="1:3" x14ac:dyDescent="0.25">
      <c r="A894" t="str">
        <f>"0611884015050"</f>
        <v>0611884015050</v>
      </c>
      <c r="B894" t="str">
        <f>"CE1741"</f>
        <v>CE1741</v>
      </c>
      <c r="C894" t="s">
        <v>861</v>
      </c>
    </row>
    <row r="895" spans="1:3" x14ac:dyDescent="0.25">
      <c r="A895" t="str">
        <f>"0611884016050"</f>
        <v>0611884016050</v>
      </c>
      <c r="B895" t="str">
        <f>"CE1740"</f>
        <v>CE1740</v>
      </c>
      <c r="C895" t="s">
        <v>862</v>
      </c>
    </row>
    <row r="896" spans="1:3" x14ac:dyDescent="0.25">
      <c r="A896" t="str">
        <f>"0611831212100"</f>
        <v>0611831212100</v>
      </c>
      <c r="B896" t="str">
        <f>"LB0820"</f>
        <v>LB0820</v>
      </c>
      <c r="C896" t="s">
        <v>863</v>
      </c>
    </row>
    <row r="897" spans="1:3" x14ac:dyDescent="0.25">
      <c r="A897" t="str">
        <f>"0611831213100"</f>
        <v>0611831213100</v>
      </c>
      <c r="B897" t="str">
        <f>"LB0902"</f>
        <v>LB0902</v>
      </c>
      <c r="C897" t="s">
        <v>864</v>
      </c>
    </row>
    <row r="898" spans="1:3" x14ac:dyDescent="0.25">
      <c r="A898" t="str">
        <f>"0611831214100"</f>
        <v>0611831214100</v>
      </c>
      <c r="B898" t="str">
        <f>"LB0821"</f>
        <v>LB0821</v>
      </c>
      <c r="C898" t="s">
        <v>865</v>
      </c>
    </row>
    <row r="899" spans="1:3" x14ac:dyDescent="0.25">
      <c r="A899" t="str">
        <f>"0611831215100"</f>
        <v>0611831215100</v>
      </c>
      <c r="B899" t="str">
        <f>"LB0822"</f>
        <v>LB0822</v>
      </c>
      <c r="C899" t="s">
        <v>866</v>
      </c>
    </row>
    <row r="900" spans="1:3" x14ac:dyDescent="0.25">
      <c r="A900" t="str">
        <f>"0611831216100"</f>
        <v>0611831216100</v>
      </c>
      <c r="B900" t="str">
        <f>"LB0823"</f>
        <v>LB0823</v>
      </c>
      <c r="C900" t="s">
        <v>867</v>
      </c>
    </row>
    <row r="901" spans="1:3" x14ac:dyDescent="0.25">
      <c r="A901" t="str">
        <f>"0611831217100"</f>
        <v>0611831217100</v>
      </c>
      <c r="B901" t="str">
        <f>"LB0824"</f>
        <v>LB0824</v>
      </c>
      <c r="C901" t="s">
        <v>868</v>
      </c>
    </row>
    <row r="902" spans="1:3" x14ac:dyDescent="0.25">
      <c r="A902" t="str">
        <f>"0611831218100"</f>
        <v>0611831218100</v>
      </c>
      <c r="B902" t="str">
        <f>"LB0826"</f>
        <v>LB0826</v>
      </c>
      <c r="C902" t="s">
        <v>869</v>
      </c>
    </row>
    <row r="903" spans="1:3" x14ac:dyDescent="0.25">
      <c r="A903" t="str">
        <f>"0611831219100"</f>
        <v>0611831219100</v>
      </c>
      <c r="B903" t="str">
        <f>"LQ3647"</f>
        <v>LQ3647</v>
      </c>
      <c r="C903" t="s">
        <v>870</v>
      </c>
    </row>
    <row r="904" spans="1:3" x14ac:dyDescent="0.25">
      <c r="A904" t="str">
        <f>"0611884017100"</f>
        <v>0611884017100</v>
      </c>
      <c r="B904" t="str">
        <f>"LK7125"</f>
        <v>LK7125</v>
      </c>
      <c r="C904" t="s">
        <v>871</v>
      </c>
    </row>
    <row r="905" spans="1:3" x14ac:dyDescent="0.25">
      <c r="A905" t="str">
        <f>"0611884018100"</f>
        <v>0611884018100</v>
      </c>
      <c r="B905" t="str">
        <f>"LK7122"</f>
        <v>LK7122</v>
      </c>
      <c r="C905" t="s">
        <v>875</v>
      </c>
    </row>
    <row r="906" spans="1:3" x14ac:dyDescent="0.25">
      <c r="A906" t="str">
        <f>"0611831229100"</f>
        <v>0611831229100</v>
      </c>
      <c r="B906" t="str">
        <f>"LK5701"</f>
        <v>LK5701</v>
      </c>
      <c r="C906" t="s">
        <v>877</v>
      </c>
    </row>
    <row r="907" spans="1:3" x14ac:dyDescent="0.25">
      <c r="A907" t="str">
        <f>"0611831225100"</f>
        <v>0611831225100</v>
      </c>
      <c r="B907" t="str">
        <f>"LK5662"</f>
        <v>LK5662</v>
      </c>
      <c r="C907" t="s">
        <v>872</v>
      </c>
    </row>
    <row r="908" spans="1:3" x14ac:dyDescent="0.25">
      <c r="A908" t="str">
        <f>"0611831226100"</f>
        <v>0611831226100</v>
      </c>
      <c r="B908" t="str">
        <f>"LK5700"</f>
        <v>LK5700</v>
      </c>
      <c r="C908" t="s">
        <v>873</v>
      </c>
    </row>
    <row r="909" spans="1:3" x14ac:dyDescent="0.25">
      <c r="A909" t="str">
        <f>"0611831227100"</f>
        <v>0611831227100</v>
      </c>
      <c r="B909" t="str">
        <f>"LK1529"</f>
        <v>LK1529</v>
      </c>
      <c r="C909" t="s">
        <v>874</v>
      </c>
    </row>
    <row r="910" spans="1:3" x14ac:dyDescent="0.25">
      <c r="A910" t="str">
        <f>"0611831228100"</f>
        <v>0611831228100</v>
      </c>
      <c r="B910" t="str">
        <f>"LK5663"</f>
        <v>LK5663</v>
      </c>
      <c r="C910" t="s">
        <v>876</v>
      </c>
    </row>
    <row r="911" spans="1:3" x14ac:dyDescent="0.25">
      <c r="A911" t="str">
        <f>"0611831230100"</f>
        <v>0611831230100</v>
      </c>
      <c r="B911" t="str">
        <f>"LK2712"</f>
        <v>LK2712</v>
      </c>
      <c r="C911" t="s">
        <v>878</v>
      </c>
    </row>
    <row r="912" spans="1:3" x14ac:dyDescent="0.25">
      <c r="A912" t="str">
        <f>"0611860583050"</f>
        <v>0611860583050</v>
      </c>
      <c r="B912" t="str">
        <f>"CR5067"</f>
        <v>CR5067</v>
      </c>
      <c r="C912" t="s">
        <v>879</v>
      </c>
    </row>
    <row r="913" spans="1:3" x14ac:dyDescent="0.25">
      <c r="A913" t="str">
        <f>"0611831231100"</f>
        <v>0611831231100</v>
      </c>
      <c r="B913" t="str">
        <f>"LK3282"</f>
        <v>LK3282</v>
      </c>
      <c r="C913" t="s">
        <v>880</v>
      </c>
    </row>
    <row r="914" spans="1:3" x14ac:dyDescent="0.25">
      <c r="A914" t="str">
        <f>"0611831232100"</f>
        <v>0611831232100</v>
      </c>
      <c r="B914" t="str">
        <f>"LK3222"</f>
        <v>LK3222</v>
      </c>
      <c r="C914" t="s">
        <v>881</v>
      </c>
    </row>
    <row r="915" spans="1:3" x14ac:dyDescent="0.25">
      <c r="A915" t="str">
        <f>"0611831234100"</f>
        <v>0611831234100</v>
      </c>
      <c r="B915" t="str">
        <f>"LK3223"</f>
        <v>LK3223</v>
      </c>
      <c r="C915" t="s">
        <v>882</v>
      </c>
    </row>
    <row r="916" spans="1:3" x14ac:dyDescent="0.25">
      <c r="A916" t="str">
        <f>"0611831233100"</f>
        <v>0611831233100</v>
      </c>
      <c r="B916" t="str">
        <f>"LK3283"</f>
        <v>LK3283</v>
      </c>
      <c r="C916" t="s">
        <v>883</v>
      </c>
    </row>
    <row r="917" spans="1:3" x14ac:dyDescent="0.25">
      <c r="A917" t="str">
        <f>"0611831235100"</f>
        <v>0611831235100</v>
      </c>
      <c r="B917" t="str">
        <f>"LK3224"</f>
        <v>LK3224</v>
      </c>
      <c r="C917" t="s">
        <v>884</v>
      </c>
    </row>
    <row r="918" spans="1:3" x14ac:dyDescent="0.25">
      <c r="A918" t="str">
        <f>"0611831236100"</f>
        <v>0611831236100</v>
      </c>
      <c r="B918" t="str">
        <f>"LK3225"</f>
        <v>LK3225</v>
      </c>
      <c r="C918" t="s">
        <v>885</v>
      </c>
    </row>
    <row r="919" spans="1:3" x14ac:dyDescent="0.25">
      <c r="A919" t="str">
        <f>"0611831237100"</f>
        <v>0611831237100</v>
      </c>
      <c r="B919" t="str">
        <f>"LK3284"</f>
        <v>LK3284</v>
      </c>
      <c r="C919" t="s">
        <v>886</v>
      </c>
    </row>
    <row r="920" spans="1:3" x14ac:dyDescent="0.25">
      <c r="A920" t="str">
        <f>"0611831238100"</f>
        <v>0611831238100</v>
      </c>
      <c r="B920" t="str">
        <f>"LK3226"</f>
        <v>LK3226</v>
      </c>
      <c r="C920" t="s">
        <v>887</v>
      </c>
    </row>
    <row r="921" spans="1:3" x14ac:dyDescent="0.25">
      <c r="A921" t="str">
        <f>"0611831240100"</f>
        <v>0611831240100</v>
      </c>
      <c r="B921" t="str">
        <f>"LK3227"</f>
        <v>LK3227</v>
      </c>
      <c r="C921" t="s">
        <v>888</v>
      </c>
    </row>
    <row r="922" spans="1:3" x14ac:dyDescent="0.25">
      <c r="A922" t="str">
        <f>"0611831239100"</f>
        <v>0611831239100</v>
      </c>
      <c r="B922" t="str">
        <f>"LK4265"</f>
        <v>LK4265</v>
      </c>
      <c r="C922" t="s">
        <v>889</v>
      </c>
    </row>
    <row r="923" spans="1:3" x14ac:dyDescent="0.25">
      <c r="A923" t="str">
        <f>"0611831241100"</f>
        <v>0611831241100</v>
      </c>
      <c r="B923" t="str">
        <f>"LK3228"</f>
        <v>LK3228</v>
      </c>
      <c r="C923" t="s">
        <v>890</v>
      </c>
    </row>
    <row r="924" spans="1:3" x14ac:dyDescent="0.25">
      <c r="A924" t="str">
        <f>"0611831242100"</f>
        <v>0611831242100</v>
      </c>
      <c r="B924" t="str">
        <f>"LK3229"</f>
        <v>LK3229</v>
      </c>
      <c r="C924" t="s">
        <v>891</v>
      </c>
    </row>
    <row r="925" spans="1:3" x14ac:dyDescent="0.25">
      <c r="A925" t="str">
        <f>"0611831243100"</f>
        <v>0611831243100</v>
      </c>
      <c r="B925" t="str">
        <f>"LK3564"</f>
        <v>LK3564</v>
      </c>
      <c r="C925" t="s">
        <v>892</v>
      </c>
    </row>
    <row r="926" spans="1:3" x14ac:dyDescent="0.25">
      <c r="A926" t="str">
        <f>"0611831244100"</f>
        <v>0611831244100</v>
      </c>
      <c r="B926" t="str">
        <f>"LK3285"</f>
        <v>LK3285</v>
      </c>
      <c r="C926" t="s">
        <v>893</v>
      </c>
    </row>
    <row r="927" spans="1:3" x14ac:dyDescent="0.25">
      <c r="A927" t="str">
        <f>"0611831245100"</f>
        <v>0611831245100</v>
      </c>
      <c r="B927" t="str">
        <f>"LQ3648"</f>
        <v>LQ3648</v>
      </c>
      <c r="C927" t="s">
        <v>894</v>
      </c>
    </row>
    <row r="928" spans="1:3" x14ac:dyDescent="0.25">
      <c r="A928" t="str">
        <f>"0611860584050"</f>
        <v>0611860584050</v>
      </c>
      <c r="B928" t="str">
        <f>"CR2611"</f>
        <v>CR2611</v>
      </c>
      <c r="C928" t="s">
        <v>895</v>
      </c>
    </row>
    <row r="929" spans="1:3" x14ac:dyDescent="0.25">
      <c r="A929" t="str">
        <f>"0611831247100"</f>
        <v>0611831247100</v>
      </c>
      <c r="B929" t="str">
        <f>"LQ3650"</f>
        <v>LQ3650</v>
      </c>
      <c r="C929" t="s">
        <v>896</v>
      </c>
    </row>
    <row r="930" spans="1:3" x14ac:dyDescent="0.25">
      <c r="A930" t="str">
        <f>"0611831248100"</f>
        <v>0611831248100</v>
      </c>
      <c r="B930" t="str">
        <f>"LQ3651"</f>
        <v>LQ3651</v>
      </c>
      <c r="C930" t="s">
        <v>897</v>
      </c>
    </row>
    <row r="931" spans="1:3" x14ac:dyDescent="0.25">
      <c r="A931" t="str">
        <f>"0611860585050"</f>
        <v>0611860585050</v>
      </c>
      <c r="B931" t="str">
        <f>"CR2016"</f>
        <v>CR2016</v>
      </c>
      <c r="C931" t="s">
        <v>898</v>
      </c>
    </row>
    <row r="932" spans="1:3" x14ac:dyDescent="0.25">
      <c r="A932" t="str">
        <f>"0611831249100"</f>
        <v>0611831249100</v>
      </c>
      <c r="B932" t="str">
        <f>"LQ3490"</f>
        <v>LQ3490</v>
      </c>
      <c r="C932" t="s">
        <v>899</v>
      </c>
    </row>
    <row r="933" spans="1:3" x14ac:dyDescent="0.25">
      <c r="A933" t="str">
        <f>"0611860586050"</f>
        <v>0611860586050</v>
      </c>
      <c r="B933" t="str">
        <f>"CR2017"</f>
        <v>CR2017</v>
      </c>
      <c r="C933" t="s">
        <v>900</v>
      </c>
    </row>
    <row r="934" spans="1:3" x14ac:dyDescent="0.25">
      <c r="A934" t="str">
        <f>"0611831250100"</f>
        <v>0611831250100</v>
      </c>
      <c r="B934" t="str">
        <f>"LQ3631"</f>
        <v>LQ3631</v>
      </c>
      <c r="C934" t="s">
        <v>901</v>
      </c>
    </row>
    <row r="935" spans="1:3" x14ac:dyDescent="0.25">
      <c r="A935" t="str">
        <f>"0611884019100"</f>
        <v>0611884019100</v>
      </c>
      <c r="B935" t="str">
        <f>"LQ3907"</f>
        <v>LQ3907</v>
      </c>
      <c r="C935" t="s">
        <v>1367</v>
      </c>
    </row>
    <row r="936" spans="1:3" x14ac:dyDescent="0.25">
      <c r="A936" t="str">
        <f>"0611906651100"</f>
        <v>0611906651100</v>
      </c>
      <c r="B936" t="str">
        <f>"LQ3946"</f>
        <v>LQ3946</v>
      </c>
      <c r="C936" t="s">
        <v>906</v>
      </c>
    </row>
    <row r="937" spans="1:3" x14ac:dyDescent="0.25">
      <c r="A937" t="str">
        <f>"0611831251100"</f>
        <v>0611831251100</v>
      </c>
      <c r="B937" t="str">
        <f>"LQ3732"</f>
        <v>LQ3732</v>
      </c>
      <c r="C937" t="s">
        <v>907</v>
      </c>
    </row>
    <row r="938" spans="1:3" x14ac:dyDescent="0.25">
      <c r="A938" t="str">
        <f>"0611831252100"</f>
        <v>0611831252100</v>
      </c>
      <c r="B938" t="str">
        <f>"LQ3733"</f>
        <v>LQ3733</v>
      </c>
      <c r="C938" t="s">
        <v>908</v>
      </c>
    </row>
    <row r="939" spans="1:3" x14ac:dyDescent="0.25">
      <c r="A939" t="str">
        <f>"0611831253100"</f>
        <v>0611831253100</v>
      </c>
      <c r="B939" t="str">
        <f>"LQ3487"</f>
        <v>LQ3487</v>
      </c>
      <c r="C939" t="s">
        <v>909</v>
      </c>
    </row>
    <row r="940" spans="1:3" x14ac:dyDescent="0.25">
      <c r="A940" t="str">
        <f>"0611831254100"</f>
        <v>0611831254100</v>
      </c>
      <c r="B940" t="str">
        <f>"LQ3488"</f>
        <v>LQ3488</v>
      </c>
      <c r="C940" t="s">
        <v>910</v>
      </c>
    </row>
    <row r="941" spans="1:3" x14ac:dyDescent="0.25">
      <c r="A941" t="str">
        <f>"0611856825100"</f>
        <v>0611856825100</v>
      </c>
      <c r="B941" t="str">
        <f>"LQ3867"</f>
        <v>LQ3867</v>
      </c>
      <c r="C941" t="s">
        <v>911</v>
      </c>
    </row>
    <row r="942" spans="1:3" x14ac:dyDescent="0.25">
      <c r="A942" t="str">
        <f>"0611831258100"</f>
        <v>0611831258100</v>
      </c>
      <c r="B942" t="str">
        <f>"LQ3432"</f>
        <v>LQ3432</v>
      </c>
      <c r="C942" t="s">
        <v>912</v>
      </c>
    </row>
    <row r="943" spans="1:3" x14ac:dyDescent="0.25">
      <c r="A943" t="str">
        <f>"0611831259100"</f>
        <v>0611831259100</v>
      </c>
      <c r="B943" t="str">
        <f>"LQ3794"</f>
        <v>LQ3794</v>
      </c>
      <c r="C943" t="s">
        <v>913</v>
      </c>
    </row>
    <row r="944" spans="1:3" x14ac:dyDescent="0.25">
      <c r="A944" t="str">
        <f>"0611831260100"</f>
        <v>0611831260100</v>
      </c>
      <c r="B944" t="str">
        <f>"LQ3433"</f>
        <v>LQ3433</v>
      </c>
      <c r="C944" t="s">
        <v>914</v>
      </c>
    </row>
    <row r="945" spans="1:3" x14ac:dyDescent="0.25">
      <c r="A945" t="str">
        <f>"0611884020100"</f>
        <v>0611884020100</v>
      </c>
      <c r="B945" t="str">
        <f>"LQ0971"</f>
        <v>LQ0971</v>
      </c>
      <c r="C945" t="s">
        <v>915</v>
      </c>
    </row>
    <row r="946" spans="1:3" x14ac:dyDescent="0.25">
      <c r="A946" t="str">
        <f>"0611831261100"</f>
        <v>0611831261100</v>
      </c>
      <c r="B946" t="str">
        <f>"LQ3435"</f>
        <v>LQ3435</v>
      </c>
      <c r="C946" t="s">
        <v>916</v>
      </c>
    </row>
    <row r="947" spans="1:3" x14ac:dyDescent="0.25">
      <c r="A947" t="str">
        <f>"0611831262100"</f>
        <v>0611831262100</v>
      </c>
      <c r="B947" t="str">
        <f>"LQ3436"</f>
        <v>LQ3436</v>
      </c>
      <c r="C947" t="s">
        <v>917</v>
      </c>
    </row>
    <row r="948" spans="1:3" x14ac:dyDescent="0.25">
      <c r="A948" t="str">
        <f>"0611906652100"</f>
        <v>0611906652100</v>
      </c>
      <c r="B948" t="str">
        <f>"LQ3947"</f>
        <v>LQ3947</v>
      </c>
      <c r="C948" t="s">
        <v>918</v>
      </c>
    </row>
    <row r="949" spans="1:3" x14ac:dyDescent="0.25">
      <c r="A949" t="str">
        <f>"0611831264100"</f>
        <v>0611831264100</v>
      </c>
      <c r="B949" t="str">
        <f>"LQ3652"</f>
        <v>LQ3652</v>
      </c>
      <c r="C949" t="s">
        <v>919</v>
      </c>
    </row>
    <row r="950" spans="1:3" x14ac:dyDescent="0.25">
      <c r="A950" t="str">
        <f>"0611831265100"</f>
        <v>0611831265100</v>
      </c>
      <c r="B950" t="str">
        <f>"LQ3653"</f>
        <v>LQ3653</v>
      </c>
      <c r="C950" t="s">
        <v>920</v>
      </c>
    </row>
    <row r="951" spans="1:3" x14ac:dyDescent="0.25">
      <c r="A951" t="str">
        <f>"0611831266100"</f>
        <v>0611831266100</v>
      </c>
      <c r="B951" t="str">
        <f>"LQ3654"</f>
        <v>LQ3654</v>
      </c>
      <c r="C951" t="s">
        <v>921</v>
      </c>
    </row>
    <row r="952" spans="1:3" x14ac:dyDescent="0.25">
      <c r="A952" t="str">
        <f>"0611831267100"</f>
        <v>0611831267100</v>
      </c>
      <c r="B952" t="str">
        <f>"LQ3822"</f>
        <v>LQ3822</v>
      </c>
      <c r="C952" t="s">
        <v>922</v>
      </c>
    </row>
    <row r="953" spans="1:3" x14ac:dyDescent="0.25">
      <c r="A953" t="str">
        <f>"0611831268100"</f>
        <v>0611831268100</v>
      </c>
      <c r="B953" t="str">
        <f>"LQ3823"</f>
        <v>LQ3823</v>
      </c>
      <c r="C953" t="s">
        <v>923</v>
      </c>
    </row>
    <row r="954" spans="1:3" x14ac:dyDescent="0.25">
      <c r="A954" t="str">
        <f>"0611831269100"</f>
        <v>0611831269100</v>
      </c>
      <c r="B954" t="str">
        <f>"LQ3824"</f>
        <v>LQ3824</v>
      </c>
      <c r="C954" t="s">
        <v>924</v>
      </c>
    </row>
    <row r="955" spans="1:3" x14ac:dyDescent="0.25">
      <c r="A955" t="str">
        <f>"0611831271100"</f>
        <v>0611831271100</v>
      </c>
      <c r="B955" t="str">
        <f>"LQ3655"</f>
        <v>LQ3655</v>
      </c>
      <c r="C955" t="s">
        <v>925</v>
      </c>
    </row>
    <row r="956" spans="1:3" x14ac:dyDescent="0.25">
      <c r="A956" t="str">
        <f>"0611831270100"</f>
        <v>0611831270100</v>
      </c>
      <c r="B956" t="str">
        <f>"LQ3491"</f>
        <v>LQ3491</v>
      </c>
      <c r="C956" t="s">
        <v>926</v>
      </c>
    </row>
    <row r="957" spans="1:3" x14ac:dyDescent="0.25">
      <c r="A957" t="str">
        <f>"0611831272100"</f>
        <v>0611831272100</v>
      </c>
      <c r="B957" t="str">
        <f>"LQ3656"</f>
        <v>LQ3656</v>
      </c>
      <c r="C957" t="s">
        <v>927</v>
      </c>
    </row>
    <row r="958" spans="1:3" x14ac:dyDescent="0.25">
      <c r="A958" t="str">
        <f>"0611860587050"</f>
        <v>0611860587050</v>
      </c>
      <c r="B958" t="str">
        <f>"CR2018"</f>
        <v>CR2018</v>
      </c>
      <c r="C958" t="s">
        <v>928</v>
      </c>
    </row>
    <row r="959" spans="1:3" x14ac:dyDescent="0.25">
      <c r="A959" t="str">
        <f>"0611884021100"</f>
        <v>0611884021100</v>
      </c>
      <c r="B959" t="str">
        <f>"LQ3903"</f>
        <v>LQ3903</v>
      </c>
      <c r="C959" t="s">
        <v>929</v>
      </c>
    </row>
    <row r="960" spans="1:3" x14ac:dyDescent="0.25">
      <c r="A960" t="str">
        <f>"0611884022100"</f>
        <v>0611884022100</v>
      </c>
      <c r="B960" t="str">
        <f>"LK7156"</f>
        <v>LK7156</v>
      </c>
      <c r="C960" t="s">
        <v>930</v>
      </c>
    </row>
    <row r="961" spans="1:3" x14ac:dyDescent="0.25">
      <c r="A961" t="str">
        <f>"0611831273100"</f>
        <v>0611831273100</v>
      </c>
      <c r="B961" t="str">
        <f>"LK6848"</f>
        <v>LK6848</v>
      </c>
      <c r="C961" t="s">
        <v>931</v>
      </c>
    </row>
    <row r="962" spans="1:3" x14ac:dyDescent="0.25">
      <c r="A962" t="str">
        <f>"0611831274100"</f>
        <v>0611831274100</v>
      </c>
      <c r="B962" t="str">
        <f>"LK6592"</f>
        <v>LK6592</v>
      </c>
      <c r="C962" t="s">
        <v>932</v>
      </c>
    </row>
    <row r="963" spans="1:3" x14ac:dyDescent="0.25">
      <c r="A963" t="str">
        <f>"0611831276100"</f>
        <v>0611831276100</v>
      </c>
      <c r="B963" t="str">
        <f>"LK4166"</f>
        <v>LK4166</v>
      </c>
      <c r="C963" t="s">
        <v>934</v>
      </c>
    </row>
    <row r="964" spans="1:3" x14ac:dyDescent="0.25">
      <c r="A964" t="str">
        <f>"0611831278100"</f>
        <v>0611831278100</v>
      </c>
      <c r="B964" t="str">
        <f>"LK4167"</f>
        <v>LK4167</v>
      </c>
      <c r="C964" t="s">
        <v>936</v>
      </c>
    </row>
    <row r="965" spans="1:3" x14ac:dyDescent="0.25">
      <c r="A965" t="str">
        <f>"0611906653100"</f>
        <v>0611906653100</v>
      </c>
      <c r="B965" t="str">
        <f>"LK7237"</f>
        <v>LK7237</v>
      </c>
      <c r="C965" t="s">
        <v>939</v>
      </c>
    </row>
    <row r="966" spans="1:3" x14ac:dyDescent="0.25">
      <c r="A966" t="str">
        <f>"0611831275100"</f>
        <v>0611831275100</v>
      </c>
      <c r="B966" t="str">
        <f>"LK5639"</f>
        <v>LK5639</v>
      </c>
      <c r="C966" t="s">
        <v>933</v>
      </c>
    </row>
    <row r="967" spans="1:3" x14ac:dyDescent="0.25">
      <c r="A967" t="str">
        <f>"0611831277100"</f>
        <v>0611831277100</v>
      </c>
      <c r="B967" t="str">
        <f>"LK4168"</f>
        <v>LK4168</v>
      </c>
      <c r="C967" t="s">
        <v>935</v>
      </c>
    </row>
    <row r="968" spans="1:3" x14ac:dyDescent="0.25">
      <c r="A968" t="str">
        <f>"0611831279100"</f>
        <v>0611831279100</v>
      </c>
      <c r="B968" t="str">
        <f>"LK5702"</f>
        <v>LK5702</v>
      </c>
      <c r="C968" t="s">
        <v>937</v>
      </c>
    </row>
    <row r="969" spans="1:3" x14ac:dyDescent="0.25">
      <c r="A969" t="str">
        <f>"0611831280100"</f>
        <v>0611831280100</v>
      </c>
      <c r="B969" t="str">
        <f>"LK3784"</f>
        <v>LK3784</v>
      </c>
      <c r="C969" t="s">
        <v>938</v>
      </c>
    </row>
    <row r="970" spans="1:3" x14ac:dyDescent="0.25">
      <c r="A970" t="str">
        <f>"0611831281100"</f>
        <v>0611831281100</v>
      </c>
      <c r="B970" t="str">
        <f>"LK6849"</f>
        <v>LK6849</v>
      </c>
      <c r="C970" t="s">
        <v>940</v>
      </c>
    </row>
    <row r="971" spans="1:3" x14ac:dyDescent="0.25">
      <c r="A971" t="str">
        <f>"0611831397100"</f>
        <v>0611831397100</v>
      </c>
      <c r="B971" t="str">
        <f>"LS0007"</f>
        <v>LS0007</v>
      </c>
      <c r="C971" t="s">
        <v>1085</v>
      </c>
    </row>
    <row r="972" spans="1:3" x14ac:dyDescent="0.25">
      <c r="A972" t="str">
        <f>"0611831283100"</f>
        <v>0611831283100</v>
      </c>
      <c r="B972" t="str">
        <f>"LQ3658"</f>
        <v>LQ3658</v>
      </c>
      <c r="C972" t="s">
        <v>941</v>
      </c>
    </row>
    <row r="973" spans="1:3" x14ac:dyDescent="0.25">
      <c r="A973" t="str">
        <f>"0611831284100"</f>
        <v>0611831284100</v>
      </c>
      <c r="B973" t="str">
        <f>"LQ3659"</f>
        <v>LQ3659</v>
      </c>
      <c r="C973" t="s">
        <v>942</v>
      </c>
    </row>
    <row r="974" spans="1:3" x14ac:dyDescent="0.25">
      <c r="A974" t="str">
        <f>"0611856826100"</f>
        <v>0611856826100</v>
      </c>
      <c r="B974" t="str">
        <f>"LK7066"</f>
        <v>LK7066</v>
      </c>
      <c r="C974" t="s">
        <v>943</v>
      </c>
    </row>
    <row r="975" spans="1:3" x14ac:dyDescent="0.25">
      <c r="A975" t="str">
        <f>"0611856827100"</f>
        <v>0611856827100</v>
      </c>
      <c r="B975" t="str">
        <f>"LK7067"</f>
        <v>LK7067</v>
      </c>
      <c r="C975" t="s">
        <v>944</v>
      </c>
    </row>
    <row r="976" spans="1:3" x14ac:dyDescent="0.25">
      <c r="A976" t="str">
        <f>"0611856828100"</f>
        <v>0611856828100</v>
      </c>
      <c r="B976" t="str">
        <f>"LK7068"</f>
        <v>LK7068</v>
      </c>
      <c r="C976" t="s">
        <v>945</v>
      </c>
    </row>
    <row r="977" spans="1:3" x14ac:dyDescent="0.25">
      <c r="A977" t="str">
        <f>"0611856829100"</f>
        <v>0611856829100</v>
      </c>
      <c r="B977" t="str">
        <f>"LK7069"</f>
        <v>LK7069</v>
      </c>
      <c r="C977" t="s">
        <v>946</v>
      </c>
    </row>
    <row r="978" spans="1:3" x14ac:dyDescent="0.25">
      <c r="A978" t="str">
        <f>"0611893336050"</f>
        <v>0611893336050</v>
      </c>
      <c r="B978" t="str">
        <f>"CE1758"</f>
        <v>CE1758</v>
      </c>
      <c r="C978" t="s">
        <v>902</v>
      </c>
    </row>
    <row r="979" spans="1:3" x14ac:dyDescent="0.25">
      <c r="A979" t="str">
        <f>"0611893337050"</f>
        <v>0611893337050</v>
      </c>
      <c r="B979" t="str">
        <f>"CE1759"</f>
        <v>CE1759</v>
      </c>
      <c r="C979" t="s">
        <v>903</v>
      </c>
    </row>
    <row r="980" spans="1:3" x14ac:dyDescent="0.25">
      <c r="A980" t="str">
        <f>"0611893338050"</f>
        <v>0611893338050</v>
      </c>
      <c r="B980" t="str">
        <f>"CE1760"</f>
        <v>CE1760</v>
      </c>
      <c r="C980" t="s">
        <v>904</v>
      </c>
    </row>
    <row r="981" spans="1:3" x14ac:dyDescent="0.25">
      <c r="A981" t="str">
        <f>"0611893339050"</f>
        <v>0611893339050</v>
      </c>
      <c r="B981" t="str">
        <f>"CE1761"</f>
        <v>CE1761</v>
      </c>
      <c r="C981" t="s">
        <v>905</v>
      </c>
    </row>
    <row r="982" spans="1:3" x14ac:dyDescent="0.25">
      <c r="A982" t="str">
        <f>"0611831285100"</f>
        <v>0611831285100</v>
      </c>
      <c r="B982" t="str">
        <f>"LK4933"</f>
        <v>LK4933</v>
      </c>
      <c r="C982" t="s">
        <v>953</v>
      </c>
    </row>
    <row r="983" spans="1:3" x14ac:dyDescent="0.25">
      <c r="A983" t="str">
        <f>"0611831286100"</f>
        <v>0611831286100</v>
      </c>
      <c r="B983" t="str">
        <f>"LK4934"</f>
        <v>LK4934</v>
      </c>
      <c r="C983" t="s">
        <v>954</v>
      </c>
    </row>
    <row r="984" spans="1:3" x14ac:dyDescent="0.25">
      <c r="A984" t="str">
        <f>"0611831287100"</f>
        <v>0611831287100</v>
      </c>
      <c r="B984" t="str">
        <f>"LK4935"</f>
        <v>LK4935</v>
      </c>
      <c r="C984" t="s">
        <v>955</v>
      </c>
    </row>
    <row r="985" spans="1:3" x14ac:dyDescent="0.25">
      <c r="A985" t="str">
        <f>"0611831288100"</f>
        <v>0611831288100</v>
      </c>
      <c r="B985" t="str">
        <f>"LK4936"</f>
        <v>LK4936</v>
      </c>
      <c r="C985" t="s">
        <v>956</v>
      </c>
    </row>
    <row r="986" spans="1:3" x14ac:dyDescent="0.25">
      <c r="A986" t="str">
        <f>"0611831289100"</f>
        <v>0611831289100</v>
      </c>
      <c r="B986" t="str">
        <f>"LK4937"</f>
        <v>LK4937</v>
      </c>
      <c r="C986" t="s">
        <v>957</v>
      </c>
    </row>
    <row r="987" spans="1:3" x14ac:dyDescent="0.25">
      <c r="A987" t="str">
        <f>"0611831290100"</f>
        <v>0611831290100</v>
      </c>
      <c r="B987" t="str">
        <f>"LK4938"</f>
        <v>LK4938</v>
      </c>
      <c r="C987" t="s">
        <v>958</v>
      </c>
    </row>
    <row r="988" spans="1:3" x14ac:dyDescent="0.25">
      <c r="A988" t="str">
        <f>"0611831291100"</f>
        <v>0611831291100</v>
      </c>
      <c r="B988" t="str">
        <f>"LK4939"</f>
        <v>LK4939</v>
      </c>
      <c r="C988" t="s">
        <v>959</v>
      </c>
    </row>
    <row r="989" spans="1:3" x14ac:dyDescent="0.25">
      <c r="A989" t="str">
        <f>"0611831292100"</f>
        <v>0611831292100</v>
      </c>
      <c r="B989" t="str">
        <f>"LQ3492"</f>
        <v>LQ3492</v>
      </c>
      <c r="C989" t="s">
        <v>960</v>
      </c>
    </row>
    <row r="990" spans="1:3" x14ac:dyDescent="0.25">
      <c r="A990" t="str">
        <f>"0611860588050"</f>
        <v>0611860588050</v>
      </c>
      <c r="B990" t="str">
        <f>"CR2019"</f>
        <v>CR2019</v>
      </c>
      <c r="C990" t="s">
        <v>961</v>
      </c>
    </row>
    <row r="991" spans="1:3" x14ac:dyDescent="0.25">
      <c r="A991" t="str">
        <f>"0611831672100"</f>
        <v>0611831672100</v>
      </c>
      <c r="B991" t="str">
        <f>"LK5699"</f>
        <v>LK5699</v>
      </c>
      <c r="C991" t="s">
        <v>962</v>
      </c>
    </row>
    <row r="992" spans="1:3" x14ac:dyDescent="0.25">
      <c r="A992" t="str">
        <f>"0611831297100"</f>
        <v>0611831297100</v>
      </c>
      <c r="B992" t="str">
        <f>"LQ3787"</f>
        <v>LQ3787</v>
      </c>
      <c r="C992" t="s">
        <v>963</v>
      </c>
    </row>
    <row r="993" spans="1:3" x14ac:dyDescent="0.25">
      <c r="A993" t="str">
        <f>"0611831298100"</f>
        <v>0611831298100</v>
      </c>
      <c r="B993" t="str">
        <f>"LQ3493"</f>
        <v>LQ3493</v>
      </c>
      <c r="C993" t="s">
        <v>964</v>
      </c>
    </row>
    <row r="994" spans="1:3" x14ac:dyDescent="0.25">
      <c r="A994" t="str">
        <f>"0611831299100"</f>
        <v>0611831299100</v>
      </c>
      <c r="B994" t="str">
        <f>"LQ3636"</f>
        <v>LQ3636</v>
      </c>
      <c r="C994" t="s">
        <v>965</v>
      </c>
    </row>
    <row r="995" spans="1:3" x14ac:dyDescent="0.25">
      <c r="A995" t="str">
        <f>"0611860589050"</f>
        <v>0611860589050</v>
      </c>
      <c r="B995" t="str">
        <f>"CR3172"</f>
        <v>CR3172</v>
      </c>
      <c r="C995" t="s">
        <v>966</v>
      </c>
    </row>
    <row r="996" spans="1:3" x14ac:dyDescent="0.25">
      <c r="A996" t="str">
        <f>"0611831300100"</f>
        <v>0611831300100</v>
      </c>
      <c r="B996" t="str">
        <f>"LK5703"</f>
        <v>LK5703</v>
      </c>
      <c r="C996" t="s">
        <v>967</v>
      </c>
    </row>
    <row r="997" spans="1:3" x14ac:dyDescent="0.25">
      <c r="A997" t="str">
        <f>"0611831317100"</f>
        <v>0611831317100</v>
      </c>
      <c r="B997" t="str">
        <f>"LK6777"</f>
        <v>LK6777</v>
      </c>
      <c r="C997" t="s">
        <v>968</v>
      </c>
    </row>
    <row r="998" spans="1:3" x14ac:dyDescent="0.25">
      <c r="A998" t="str">
        <f>"0611884023100"</f>
        <v>0611884023100</v>
      </c>
      <c r="B998" t="str">
        <f>"LK7123"</f>
        <v>LK7123</v>
      </c>
      <c r="C998" t="s">
        <v>969</v>
      </c>
    </row>
    <row r="999" spans="1:3" x14ac:dyDescent="0.25">
      <c r="A999" t="str">
        <f>"0611831301100"</f>
        <v>0611831301100</v>
      </c>
      <c r="B999" t="str">
        <f>"LK5655"</f>
        <v>LK5655</v>
      </c>
      <c r="C999" t="s">
        <v>970</v>
      </c>
    </row>
    <row r="1000" spans="1:3" x14ac:dyDescent="0.25">
      <c r="A1000" t="str">
        <f>"0611831302100"</f>
        <v>0611831302100</v>
      </c>
      <c r="B1000" t="str">
        <f>"LK5704"</f>
        <v>LK5704</v>
      </c>
      <c r="C1000" t="s">
        <v>971</v>
      </c>
    </row>
    <row r="1001" spans="1:3" x14ac:dyDescent="0.25">
      <c r="A1001" t="str">
        <f>"0611831303100"</f>
        <v>0611831303100</v>
      </c>
      <c r="B1001" t="str">
        <f>"LK5705"</f>
        <v>LK5705</v>
      </c>
      <c r="C1001" t="s">
        <v>972</v>
      </c>
    </row>
    <row r="1002" spans="1:3" x14ac:dyDescent="0.25">
      <c r="A1002" t="str">
        <f>"0611831304100"</f>
        <v>0611831304100</v>
      </c>
      <c r="B1002" t="str">
        <f>"LK5656"</f>
        <v>LK5656</v>
      </c>
      <c r="C1002" t="s">
        <v>973</v>
      </c>
    </row>
    <row r="1003" spans="1:3" x14ac:dyDescent="0.25">
      <c r="A1003" t="str">
        <f>"0611831305100"</f>
        <v>0611831305100</v>
      </c>
      <c r="B1003" t="str">
        <f>"LK5657"</f>
        <v>LK5657</v>
      </c>
      <c r="C1003" t="s">
        <v>974</v>
      </c>
    </row>
    <row r="1004" spans="1:3" x14ac:dyDescent="0.25">
      <c r="A1004" t="str">
        <f>"0611831307100"</f>
        <v>0611831307100</v>
      </c>
      <c r="B1004" t="str">
        <f>"LK5658"</f>
        <v>LK5658</v>
      </c>
      <c r="C1004" t="s">
        <v>975</v>
      </c>
    </row>
    <row r="1005" spans="1:3" x14ac:dyDescent="0.25">
      <c r="A1005" t="str">
        <f>"0611831308100"</f>
        <v>0611831308100</v>
      </c>
      <c r="B1005" t="str">
        <f>"LK6019"</f>
        <v>LK6019</v>
      </c>
      <c r="C1005" t="s">
        <v>976</v>
      </c>
    </row>
    <row r="1006" spans="1:3" x14ac:dyDescent="0.25">
      <c r="A1006" t="str">
        <f>"0611831309100"</f>
        <v>0611831309100</v>
      </c>
      <c r="B1006" t="str">
        <f>"LK6983"</f>
        <v>LK6983</v>
      </c>
      <c r="C1006" t="s">
        <v>977</v>
      </c>
    </row>
    <row r="1007" spans="1:3" x14ac:dyDescent="0.25">
      <c r="A1007" t="str">
        <f>"0611831312100"</f>
        <v>0611831312100</v>
      </c>
      <c r="B1007" t="str">
        <f>"LK5177"</f>
        <v>LK5177</v>
      </c>
      <c r="C1007" t="s">
        <v>947</v>
      </c>
    </row>
    <row r="1008" spans="1:3" x14ac:dyDescent="0.25">
      <c r="A1008" t="str">
        <f>"0611831313100"</f>
        <v>0611831313100</v>
      </c>
      <c r="B1008" t="str">
        <f>"LB0871"</f>
        <v>LB0871</v>
      </c>
      <c r="C1008" t="s">
        <v>948</v>
      </c>
    </row>
    <row r="1009" spans="1:3" x14ac:dyDescent="0.25">
      <c r="A1009" t="str">
        <f>"0611831311100"</f>
        <v>0611831311100</v>
      </c>
      <c r="B1009" t="str">
        <f>"LB0872"</f>
        <v>LB0872</v>
      </c>
      <c r="C1009" t="s">
        <v>949</v>
      </c>
    </row>
    <row r="1010" spans="1:3" x14ac:dyDescent="0.25">
      <c r="A1010" t="str">
        <f>"0611831314100"</f>
        <v>0611831314100</v>
      </c>
      <c r="B1010" t="str">
        <f>"LB0873"</f>
        <v>LB0873</v>
      </c>
      <c r="C1010" t="s">
        <v>950</v>
      </c>
    </row>
    <row r="1011" spans="1:3" x14ac:dyDescent="0.25">
      <c r="A1011" t="str">
        <f>"0611831315100"</f>
        <v>0611831315100</v>
      </c>
      <c r="B1011" t="str">
        <f>"LB0976"</f>
        <v>LB0976</v>
      </c>
      <c r="C1011" t="s">
        <v>951</v>
      </c>
    </row>
    <row r="1012" spans="1:3" x14ac:dyDescent="0.25">
      <c r="A1012" t="str">
        <f>"0611831316100"</f>
        <v>0611831316100</v>
      </c>
      <c r="B1012" t="str">
        <f>"LB0874"</f>
        <v>LB0874</v>
      </c>
      <c r="C1012" t="s">
        <v>952</v>
      </c>
    </row>
    <row r="1013" spans="1:3" x14ac:dyDescent="0.25">
      <c r="A1013" t="str">
        <f>"0611831318100"</f>
        <v>0611831318100</v>
      </c>
      <c r="B1013" t="str">
        <f>"LQ3495"</f>
        <v>LQ3495</v>
      </c>
      <c r="C1013" t="s">
        <v>978</v>
      </c>
    </row>
    <row r="1014" spans="1:3" x14ac:dyDescent="0.25">
      <c r="A1014" t="str">
        <f>"0611831319100"</f>
        <v>0611831319100</v>
      </c>
      <c r="B1014" t="str">
        <f>"LK0427"</f>
        <v>LK0427</v>
      </c>
      <c r="C1014" t="s">
        <v>979</v>
      </c>
    </row>
    <row r="1015" spans="1:3" x14ac:dyDescent="0.25">
      <c r="A1015" t="str">
        <f>"0611831320100"</f>
        <v>0611831320100</v>
      </c>
      <c r="B1015" t="str">
        <f>"LQ3661"</f>
        <v>LQ3661</v>
      </c>
      <c r="C1015" t="s">
        <v>980</v>
      </c>
    </row>
    <row r="1016" spans="1:3" x14ac:dyDescent="0.25">
      <c r="A1016" t="str">
        <f>"0611831321100"</f>
        <v>0611831321100</v>
      </c>
      <c r="B1016" t="str">
        <f>"LQ3496"</f>
        <v>LQ3496</v>
      </c>
      <c r="C1016" t="s">
        <v>981</v>
      </c>
    </row>
    <row r="1017" spans="1:3" x14ac:dyDescent="0.25">
      <c r="A1017" t="str">
        <f>"0611860590050"</f>
        <v>0611860590050</v>
      </c>
      <c r="B1017" t="str">
        <f>"CR2021"</f>
        <v>CR2021</v>
      </c>
      <c r="C1017" t="s">
        <v>982</v>
      </c>
    </row>
    <row r="1018" spans="1:3" x14ac:dyDescent="0.25">
      <c r="A1018" t="str">
        <f>"0611831322100"</f>
        <v>0611831322100</v>
      </c>
      <c r="B1018" t="str">
        <f>"LQ3662"</f>
        <v>LQ3662</v>
      </c>
      <c r="C1018" t="s">
        <v>983</v>
      </c>
    </row>
    <row r="1019" spans="1:3" x14ac:dyDescent="0.25">
      <c r="A1019" t="str">
        <f>"0611831324100"</f>
        <v>0611831324100</v>
      </c>
      <c r="B1019" t="str">
        <f>"LB1041"</f>
        <v>LB1041</v>
      </c>
      <c r="C1019" t="s">
        <v>984</v>
      </c>
    </row>
    <row r="1020" spans="1:3" x14ac:dyDescent="0.25">
      <c r="A1020" t="str">
        <f>"0611831325100"</f>
        <v>0611831325100</v>
      </c>
      <c r="B1020" t="str">
        <f>"LB0838"</f>
        <v>LB0838</v>
      </c>
      <c r="C1020" t="s">
        <v>985</v>
      </c>
    </row>
    <row r="1021" spans="1:3" x14ac:dyDescent="0.25">
      <c r="A1021" t="str">
        <f>"0611831326100"</f>
        <v>0611831326100</v>
      </c>
      <c r="B1021" t="str">
        <f>"LQ3497"</f>
        <v>LQ3497</v>
      </c>
      <c r="C1021" t="s">
        <v>986</v>
      </c>
    </row>
    <row r="1022" spans="1:3" x14ac:dyDescent="0.25">
      <c r="A1022" t="str">
        <f>"0611856830100"</f>
        <v>0611856830100</v>
      </c>
      <c r="B1022" t="str">
        <f>"LQ3875"</f>
        <v>LQ3875</v>
      </c>
      <c r="C1022" t="s">
        <v>987</v>
      </c>
    </row>
    <row r="1023" spans="1:3" x14ac:dyDescent="0.25">
      <c r="A1023" t="str">
        <f>"0611831328100"</f>
        <v>0611831328100</v>
      </c>
      <c r="B1023" t="str">
        <f>"LQ3665"</f>
        <v>LQ3665</v>
      </c>
      <c r="C1023" t="s">
        <v>988</v>
      </c>
    </row>
    <row r="1024" spans="1:3" x14ac:dyDescent="0.25">
      <c r="A1024" t="str">
        <f>"0611860591050"</f>
        <v>0611860591050</v>
      </c>
      <c r="B1024" t="str">
        <f>"CR3204"</f>
        <v>CR3204</v>
      </c>
      <c r="C1024" t="s">
        <v>989</v>
      </c>
    </row>
    <row r="1025" spans="1:3" x14ac:dyDescent="0.25">
      <c r="A1025" t="str">
        <f>"0611831329100"</f>
        <v>0611831329100</v>
      </c>
      <c r="B1025" t="str">
        <f>"MB0770"</f>
        <v>MB0770</v>
      </c>
      <c r="C1025" t="s">
        <v>990</v>
      </c>
    </row>
    <row r="1026" spans="1:3" x14ac:dyDescent="0.25">
      <c r="A1026" t="str">
        <f>"0611831330100"</f>
        <v>0611831330100</v>
      </c>
      <c r="B1026" t="str">
        <f>"LG0770"</f>
        <v>LG0770</v>
      </c>
      <c r="C1026" t="s">
        <v>991</v>
      </c>
    </row>
    <row r="1027" spans="1:3" x14ac:dyDescent="0.25">
      <c r="A1027" t="str">
        <f>"0611831331100"</f>
        <v>0611831331100</v>
      </c>
      <c r="B1027" t="str">
        <f>"LB0870"</f>
        <v>LB0870</v>
      </c>
      <c r="C1027" t="s">
        <v>992</v>
      </c>
    </row>
    <row r="1028" spans="1:3" x14ac:dyDescent="0.25">
      <c r="A1028" t="str">
        <f>"0611831332100"</f>
        <v>0611831332100</v>
      </c>
      <c r="B1028" t="str">
        <f>"LB0925"</f>
        <v>LB0925</v>
      </c>
      <c r="C1028" t="s">
        <v>993</v>
      </c>
    </row>
    <row r="1029" spans="1:3" x14ac:dyDescent="0.25">
      <c r="A1029" t="str">
        <f>"0611831333100"</f>
        <v>0611831333100</v>
      </c>
      <c r="B1029" t="str">
        <f>"LB0880"</f>
        <v>LB0880</v>
      </c>
      <c r="C1029" t="s">
        <v>994</v>
      </c>
    </row>
    <row r="1030" spans="1:3" x14ac:dyDescent="0.25">
      <c r="A1030" t="str">
        <f>"0611831334100"</f>
        <v>0611831334100</v>
      </c>
      <c r="B1030" t="str">
        <f>"LB1040"</f>
        <v>LB1040</v>
      </c>
      <c r="C1030" t="s">
        <v>995</v>
      </c>
    </row>
    <row r="1031" spans="1:3" x14ac:dyDescent="0.25">
      <c r="A1031" t="str">
        <f>"0611831335100"</f>
        <v>0611831335100</v>
      </c>
      <c r="B1031" t="str">
        <f>"LK4621"</f>
        <v>LK4621</v>
      </c>
      <c r="C1031" t="s">
        <v>996</v>
      </c>
    </row>
    <row r="1032" spans="1:3" x14ac:dyDescent="0.25">
      <c r="A1032" t="str">
        <f>"0611831336100"</f>
        <v>0611831336100</v>
      </c>
      <c r="B1032" t="str">
        <f>"LB1085"</f>
        <v>LB1085</v>
      </c>
      <c r="C1032" t="s">
        <v>997</v>
      </c>
    </row>
    <row r="1033" spans="1:3" x14ac:dyDescent="0.25">
      <c r="A1033" t="str">
        <f>"0611831337100"</f>
        <v>0611831337100</v>
      </c>
      <c r="B1033" t="str">
        <f>"LB1090"</f>
        <v>LB1090</v>
      </c>
      <c r="C1033" t="s">
        <v>998</v>
      </c>
    </row>
    <row r="1034" spans="1:3" x14ac:dyDescent="0.25">
      <c r="A1034" t="str">
        <f>"0611831338100"</f>
        <v>0611831338100</v>
      </c>
      <c r="B1034" t="str">
        <f>"LK6889"</f>
        <v>LK6889</v>
      </c>
      <c r="C1034" t="s">
        <v>999</v>
      </c>
    </row>
    <row r="1035" spans="1:3" x14ac:dyDescent="0.25">
      <c r="A1035" t="str">
        <f>"0611884024100"</f>
        <v>0611884024100</v>
      </c>
      <c r="B1035" t="str">
        <f>"LQ3904"</f>
        <v>LQ3904</v>
      </c>
      <c r="C1035" t="s">
        <v>1000</v>
      </c>
    </row>
    <row r="1036" spans="1:3" x14ac:dyDescent="0.25">
      <c r="A1036" t="str">
        <f>"0611831341100"</f>
        <v>0611831341100</v>
      </c>
      <c r="B1036" t="str">
        <f>"LQ3498"</f>
        <v>LQ3498</v>
      </c>
      <c r="C1036" t="s">
        <v>1001</v>
      </c>
    </row>
    <row r="1037" spans="1:3" x14ac:dyDescent="0.25">
      <c r="A1037" t="str">
        <f>"0611860592050"</f>
        <v>0611860592050</v>
      </c>
      <c r="B1037" t="str">
        <f>"CR2607"</f>
        <v>CR2607</v>
      </c>
      <c r="C1037" t="s">
        <v>1002</v>
      </c>
    </row>
    <row r="1038" spans="1:3" x14ac:dyDescent="0.25">
      <c r="A1038" t="str">
        <f>"0611831343100"</f>
        <v>0611831343100</v>
      </c>
      <c r="B1038" t="str">
        <f>"LG0028"</f>
        <v>LG0028</v>
      </c>
      <c r="C1038" t="s">
        <v>1004</v>
      </c>
    </row>
    <row r="1039" spans="1:3" x14ac:dyDescent="0.25">
      <c r="A1039" t="str">
        <f>"0611884025100"</f>
        <v>0611884025100</v>
      </c>
      <c r="B1039" t="str">
        <f>"LQ3905"</f>
        <v>LQ3905</v>
      </c>
      <c r="C1039" t="s">
        <v>1005</v>
      </c>
    </row>
    <row r="1040" spans="1:3" x14ac:dyDescent="0.25">
      <c r="A1040" t="str">
        <f>"0611831344100"</f>
        <v>0611831344100</v>
      </c>
      <c r="B1040" t="str">
        <f>"LQ5793"</f>
        <v>LQ5793</v>
      </c>
      <c r="C1040" t="s">
        <v>1006</v>
      </c>
    </row>
    <row r="1041" spans="1:3" x14ac:dyDescent="0.25">
      <c r="A1041" t="str">
        <f>"0611860593050"</f>
        <v>0611860593050</v>
      </c>
      <c r="B1041" t="str">
        <f>"CR2022"</f>
        <v>CR2022</v>
      </c>
      <c r="C1041" t="s">
        <v>1007</v>
      </c>
    </row>
    <row r="1042" spans="1:3" x14ac:dyDescent="0.25">
      <c r="A1042" t="str">
        <f>"0611831345100"</f>
        <v>0611831345100</v>
      </c>
      <c r="B1042" t="str">
        <f>"LQ5794"</f>
        <v>LQ5794</v>
      </c>
      <c r="C1042" t="s">
        <v>1008</v>
      </c>
    </row>
    <row r="1043" spans="1:3" x14ac:dyDescent="0.25">
      <c r="A1043" t="str">
        <f>"0611860594050"</f>
        <v>0611860594050</v>
      </c>
      <c r="B1043" t="str">
        <f>"CR2023"</f>
        <v>CR2023</v>
      </c>
      <c r="C1043" t="s">
        <v>1009</v>
      </c>
    </row>
    <row r="1044" spans="1:3" x14ac:dyDescent="0.25">
      <c r="A1044" t="str">
        <f>"0611831346100"</f>
        <v>0611831346100</v>
      </c>
      <c r="B1044" t="str">
        <f>"LQ5795"</f>
        <v>LQ5795</v>
      </c>
      <c r="C1044" t="s">
        <v>1010</v>
      </c>
    </row>
    <row r="1045" spans="1:3" x14ac:dyDescent="0.25">
      <c r="A1045" t="str">
        <f>"0611860595050"</f>
        <v>0611860595050</v>
      </c>
      <c r="B1045" t="str">
        <f>"CR2024"</f>
        <v>CR2024</v>
      </c>
      <c r="C1045" t="s">
        <v>1011</v>
      </c>
    </row>
    <row r="1046" spans="1:3" x14ac:dyDescent="0.25">
      <c r="A1046" t="str">
        <f>"0611831347100"</f>
        <v>0611831347100</v>
      </c>
      <c r="B1046" t="str">
        <f>"LQ5796"</f>
        <v>LQ5796</v>
      </c>
      <c r="C1046" t="s">
        <v>1012</v>
      </c>
    </row>
    <row r="1047" spans="1:3" x14ac:dyDescent="0.25">
      <c r="A1047" t="str">
        <f>"0611860596050"</f>
        <v>0611860596050</v>
      </c>
      <c r="B1047" t="str">
        <f>"CR2025"</f>
        <v>CR2025</v>
      </c>
      <c r="C1047" t="s">
        <v>1013</v>
      </c>
    </row>
    <row r="1048" spans="1:3" x14ac:dyDescent="0.25">
      <c r="A1048" t="str">
        <f>"0611831348100"</f>
        <v>0611831348100</v>
      </c>
      <c r="B1048" t="str">
        <f>"LG0774"</f>
        <v>LG0774</v>
      </c>
      <c r="C1048" t="s">
        <v>1014</v>
      </c>
    </row>
    <row r="1049" spans="1:3" x14ac:dyDescent="0.25">
      <c r="A1049" t="str">
        <f>"0611906654100"</f>
        <v>0611906654100</v>
      </c>
      <c r="B1049" t="str">
        <f>"LK7202"</f>
        <v>LK7202</v>
      </c>
      <c r="C1049" t="s">
        <v>1018</v>
      </c>
    </row>
    <row r="1050" spans="1:3" x14ac:dyDescent="0.25">
      <c r="A1050" t="str">
        <f>"0611884026025"</f>
        <v>0611884026025</v>
      </c>
      <c r="B1050" t="str">
        <f>"MC4449"</f>
        <v>MC4449</v>
      </c>
      <c r="C1050" t="s">
        <v>1019</v>
      </c>
    </row>
    <row r="1051" spans="1:3" x14ac:dyDescent="0.25">
      <c r="A1051" t="str">
        <f>"0611906655100"</f>
        <v>0611906655100</v>
      </c>
      <c r="B1051" t="str">
        <f>"LK7203"</f>
        <v>LK7203</v>
      </c>
      <c r="C1051" t="s">
        <v>1023</v>
      </c>
    </row>
    <row r="1052" spans="1:3" x14ac:dyDescent="0.25">
      <c r="A1052" t="str">
        <f>"0611884027025"</f>
        <v>0611884027025</v>
      </c>
      <c r="B1052" t="str">
        <f>"MC4450"</f>
        <v>MC4450</v>
      </c>
      <c r="C1052" t="s">
        <v>1024</v>
      </c>
    </row>
    <row r="1053" spans="1:3" x14ac:dyDescent="0.25">
      <c r="A1053" t="str">
        <f>"0611831349100"</f>
        <v>0611831349100</v>
      </c>
      <c r="B1053" t="str">
        <f>"MB0776"</f>
        <v>MB0776</v>
      </c>
      <c r="C1053" t="s">
        <v>1015</v>
      </c>
    </row>
    <row r="1054" spans="1:3" x14ac:dyDescent="0.25">
      <c r="A1054" t="str">
        <f>"0611831350100"</f>
        <v>0611831350100</v>
      </c>
      <c r="B1054" t="str">
        <f>"LK0584"</f>
        <v>LK0584</v>
      </c>
      <c r="C1054" t="s">
        <v>1016</v>
      </c>
    </row>
    <row r="1055" spans="1:3" x14ac:dyDescent="0.25">
      <c r="A1055" t="str">
        <f>"0611831351025"</f>
        <v>0611831351025</v>
      </c>
      <c r="B1055" t="str">
        <f>"MC1496"</f>
        <v>MC1496</v>
      </c>
      <c r="C1055" t="s">
        <v>1017</v>
      </c>
    </row>
    <row r="1056" spans="1:3" x14ac:dyDescent="0.25">
      <c r="A1056" t="str">
        <f>"0611831352100"</f>
        <v>0611831352100</v>
      </c>
      <c r="B1056" t="str">
        <f>"MB0775"</f>
        <v>MB0775</v>
      </c>
      <c r="C1056" t="s">
        <v>1020</v>
      </c>
    </row>
    <row r="1057" spans="1:3" x14ac:dyDescent="0.25">
      <c r="A1057" t="str">
        <f>"0611831353100"</f>
        <v>0611831353100</v>
      </c>
      <c r="B1057" t="str">
        <f>"LK0591"</f>
        <v>LK0591</v>
      </c>
      <c r="C1057" t="s">
        <v>1021</v>
      </c>
    </row>
    <row r="1058" spans="1:3" x14ac:dyDescent="0.25">
      <c r="A1058" t="str">
        <f>"0611831354025"</f>
        <v>0611831354025</v>
      </c>
      <c r="B1058" t="str">
        <f>"MC0931"</f>
        <v>MC0931</v>
      </c>
      <c r="C1058" t="s">
        <v>1022</v>
      </c>
    </row>
    <row r="1059" spans="1:3" x14ac:dyDescent="0.25">
      <c r="A1059" t="str">
        <f>"0611856831100"</f>
        <v>0611856831100</v>
      </c>
      <c r="B1059" t="str">
        <f>"LK7045"</f>
        <v>LK7045</v>
      </c>
      <c r="C1059" t="s">
        <v>1025</v>
      </c>
    </row>
    <row r="1060" spans="1:3" x14ac:dyDescent="0.25">
      <c r="A1060" t="str">
        <f>"0611856832025"</f>
        <v>0611856832025</v>
      </c>
      <c r="B1060" t="str">
        <f>"MC4421"</f>
        <v>MC4421</v>
      </c>
      <c r="C1060" t="s">
        <v>1026</v>
      </c>
    </row>
    <row r="1061" spans="1:3" x14ac:dyDescent="0.25">
      <c r="A1061" t="str">
        <f>"0611860597050"</f>
        <v>0611860597050</v>
      </c>
      <c r="B1061" t="str">
        <f>"CR3205"</f>
        <v>CR3205</v>
      </c>
      <c r="C1061" t="s">
        <v>1027</v>
      </c>
    </row>
    <row r="1062" spans="1:3" x14ac:dyDescent="0.25">
      <c r="A1062" t="str">
        <f>"0611860598050"</f>
        <v>0611860598050</v>
      </c>
      <c r="B1062" t="str">
        <f>"CR2026"</f>
        <v>CR2026</v>
      </c>
      <c r="C1062" t="s">
        <v>1028</v>
      </c>
    </row>
    <row r="1063" spans="1:3" x14ac:dyDescent="0.25">
      <c r="A1063" t="str">
        <f>"0611860599050"</f>
        <v>0611860599050</v>
      </c>
      <c r="B1063" t="str">
        <f>"CR2027"</f>
        <v>CR2027</v>
      </c>
      <c r="C1063" t="s">
        <v>1029</v>
      </c>
    </row>
    <row r="1064" spans="1:3" x14ac:dyDescent="0.25">
      <c r="A1064" t="str">
        <f>"0611860600050"</f>
        <v>0611860600050</v>
      </c>
      <c r="B1064" t="str">
        <f>"CR2029"</f>
        <v>CR2029</v>
      </c>
      <c r="C1064" t="s">
        <v>1030</v>
      </c>
    </row>
    <row r="1065" spans="1:3" x14ac:dyDescent="0.25">
      <c r="A1065" t="str">
        <f>"0611906656100"</f>
        <v>0611906656100</v>
      </c>
      <c r="B1065" t="str">
        <f>"LQ3949"</f>
        <v>LQ3949</v>
      </c>
      <c r="C1065" t="s">
        <v>1031</v>
      </c>
    </row>
    <row r="1066" spans="1:3" x14ac:dyDescent="0.25">
      <c r="A1066" t="str">
        <f>"0611831356100"</f>
        <v>0611831356100</v>
      </c>
      <c r="B1066" t="str">
        <f>"LQ3788"</f>
        <v>LQ3788</v>
      </c>
      <c r="C1066" t="s">
        <v>1032</v>
      </c>
    </row>
    <row r="1067" spans="1:3" x14ac:dyDescent="0.25">
      <c r="A1067" t="str">
        <f>"0611831357100"</f>
        <v>0611831357100</v>
      </c>
      <c r="B1067" t="str">
        <f>"LQ3789"</f>
        <v>LQ3789</v>
      </c>
      <c r="C1067" t="s">
        <v>1033</v>
      </c>
    </row>
    <row r="1068" spans="1:3" x14ac:dyDescent="0.25">
      <c r="A1068" t="str">
        <f>"0611831358100"</f>
        <v>0611831358100</v>
      </c>
      <c r="B1068" t="str">
        <f>"LK6022"</f>
        <v>LK6022</v>
      </c>
      <c r="C1068" t="s">
        <v>1034</v>
      </c>
    </row>
    <row r="1069" spans="1:3" x14ac:dyDescent="0.25">
      <c r="A1069" t="str">
        <f>"0611831359100"</f>
        <v>0611831359100</v>
      </c>
      <c r="B1069" t="str">
        <f>"LK5707"</f>
        <v>LK5707</v>
      </c>
      <c r="C1069" t="s">
        <v>1035</v>
      </c>
    </row>
    <row r="1070" spans="1:3" x14ac:dyDescent="0.25">
      <c r="A1070" t="str">
        <f>"0611831360100"</f>
        <v>0611831360100</v>
      </c>
      <c r="B1070" t="str">
        <f>"LQ3790"</f>
        <v>LQ3790</v>
      </c>
      <c r="C1070" t="s">
        <v>1036</v>
      </c>
    </row>
    <row r="1071" spans="1:3" x14ac:dyDescent="0.25">
      <c r="A1071" t="str">
        <f>"0611831361100"</f>
        <v>0611831361100</v>
      </c>
      <c r="B1071" t="str">
        <f>"LB1042"</f>
        <v>LB1042</v>
      </c>
      <c r="C1071" t="s">
        <v>1037</v>
      </c>
    </row>
    <row r="1072" spans="1:3" x14ac:dyDescent="0.25">
      <c r="A1072" t="str">
        <f>"0611831362100"</f>
        <v>0611831362100</v>
      </c>
      <c r="B1072" t="str">
        <f>"LB1043"</f>
        <v>LB1043</v>
      </c>
      <c r="C1072" t="s">
        <v>1038</v>
      </c>
    </row>
    <row r="1073" spans="1:3" x14ac:dyDescent="0.25">
      <c r="A1073" t="str">
        <f>"0611831364100"</f>
        <v>0611831364100</v>
      </c>
      <c r="B1073" t="str">
        <f>"LB0893"</f>
        <v>LB0893</v>
      </c>
      <c r="C1073" t="s">
        <v>1039</v>
      </c>
    </row>
    <row r="1074" spans="1:3" x14ac:dyDescent="0.25">
      <c r="A1074" t="str">
        <f>"0611831365100"</f>
        <v>0611831365100</v>
      </c>
      <c r="B1074" t="str">
        <f>"LB0792"</f>
        <v>LB0792</v>
      </c>
      <c r="C1074" t="s">
        <v>1040</v>
      </c>
    </row>
    <row r="1075" spans="1:3" x14ac:dyDescent="0.25">
      <c r="A1075" t="str">
        <f>"0611831366100"</f>
        <v>0611831366100</v>
      </c>
      <c r="B1075" t="str">
        <f>"LB0793"</f>
        <v>LB0793</v>
      </c>
      <c r="C1075" t="s">
        <v>1041</v>
      </c>
    </row>
    <row r="1076" spans="1:3" x14ac:dyDescent="0.25">
      <c r="A1076" t="str">
        <f>"0611831363100"</f>
        <v>0611831363100</v>
      </c>
      <c r="B1076" t="str">
        <f>"LB0794"</f>
        <v>LB0794</v>
      </c>
      <c r="C1076" t="s">
        <v>1042</v>
      </c>
    </row>
    <row r="1077" spans="1:3" x14ac:dyDescent="0.25">
      <c r="A1077" t="str">
        <f>"0611831367100"</f>
        <v>0611831367100</v>
      </c>
      <c r="B1077" t="str">
        <f>"LB0795"</f>
        <v>LB0795</v>
      </c>
      <c r="C1077" t="s">
        <v>1043</v>
      </c>
    </row>
    <row r="1078" spans="1:3" x14ac:dyDescent="0.25">
      <c r="A1078" t="str">
        <f>"0611831368100"</f>
        <v>0611831368100</v>
      </c>
      <c r="B1078" t="str">
        <f>"LB0796"</f>
        <v>LB0796</v>
      </c>
      <c r="C1078" t="s">
        <v>1044</v>
      </c>
    </row>
    <row r="1079" spans="1:3" x14ac:dyDescent="0.25">
      <c r="A1079" t="str">
        <f>"0611831373100"</f>
        <v>0611831373100</v>
      </c>
      <c r="B1079" t="str">
        <f>"LB0797"</f>
        <v>LB0797</v>
      </c>
      <c r="C1079" t="s">
        <v>1045</v>
      </c>
    </row>
    <row r="1080" spans="1:3" x14ac:dyDescent="0.25">
      <c r="A1080" t="str">
        <f>"0611831369100"</f>
        <v>0611831369100</v>
      </c>
      <c r="B1080" t="str">
        <f>"LB1044"</f>
        <v>LB1044</v>
      </c>
      <c r="C1080" t="s">
        <v>1046</v>
      </c>
    </row>
    <row r="1081" spans="1:3" x14ac:dyDescent="0.25">
      <c r="A1081" t="str">
        <f>"0611831370100"</f>
        <v>0611831370100</v>
      </c>
      <c r="B1081" t="str">
        <f>"LB0798"</f>
        <v>LB0798</v>
      </c>
      <c r="C1081" t="s">
        <v>1047</v>
      </c>
    </row>
    <row r="1082" spans="1:3" x14ac:dyDescent="0.25">
      <c r="A1082" t="str">
        <f>"0611831372100"</f>
        <v>0611831372100</v>
      </c>
      <c r="B1082" t="str">
        <f>"LB0799"</f>
        <v>LB0799</v>
      </c>
      <c r="C1082" t="s">
        <v>1048</v>
      </c>
    </row>
    <row r="1083" spans="1:3" x14ac:dyDescent="0.25">
      <c r="A1083" t="str">
        <f>"0611831371100"</f>
        <v>0611831371100</v>
      </c>
      <c r="B1083" t="str">
        <f>"LB0800"</f>
        <v>LB0800</v>
      </c>
      <c r="C1083" t="s">
        <v>1049</v>
      </c>
    </row>
    <row r="1084" spans="1:3" x14ac:dyDescent="0.25">
      <c r="A1084" t="str">
        <f>"0611831374100"</f>
        <v>0611831374100</v>
      </c>
      <c r="B1084" t="str">
        <f>"LQ3501"</f>
        <v>LQ3501</v>
      </c>
      <c r="C1084" t="s">
        <v>1050</v>
      </c>
    </row>
    <row r="1085" spans="1:3" x14ac:dyDescent="0.25">
      <c r="A1085" t="str">
        <f>"0611831375100"</f>
        <v>0611831375100</v>
      </c>
      <c r="B1085" t="str">
        <f>"LQ3502"</f>
        <v>LQ3502</v>
      </c>
      <c r="C1085" t="s">
        <v>1051</v>
      </c>
    </row>
    <row r="1086" spans="1:3" x14ac:dyDescent="0.25">
      <c r="A1086" t="str">
        <f>"0611831377100"</f>
        <v>0611831377100</v>
      </c>
      <c r="B1086" t="str">
        <f>"LK6890"</f>
        <v>LK6890</v>
      </c>
      <c r="C1086" t="s">
        <v>1052</v>
      </c>
    </row>
    <row r="1087" spans="1:3" x14ac:dyDescent="0.25">
      <c r="A1087" t="str">
        <f>"0611831378100"</f>
        <v>0611831378100</v>
      </c>
      <c r="B1087" t="str">
        <f>"LK6593"</f>
        <v>LK6593</v>
      </c>
      <c r="C1087" t="s">
        <v>1053</v>
      </c>
    </row>
    <row r="1088" spans="1:3" x14ac:dyDescent="0.25">
      <c r="A1088" t="str">
        <f>"0611831379100"</f>
        <v>0611831379100</v>
      </c>
      <c r="B1088" t="str">
        <f>"LK6594"</f>
        <v>LK6594</v>
      </c>
      <c r="C1088" t="s">
        <v>1054</v>
      </c>
    </row>
    <row r="1089" spans="1:3" x14ac:dyDescent="0.25">
      <c r="A1089" t="str">
        <f>"0611831380100"</f>
        <v>0611831380100</v>
      </c>
      <c r="B1089" t="str">
        <f>"LK6891"</f>
        <v>LK6891</v>
      </c>
      <c r="C1089" t="s">
        <v>1055</v>
      </c>
    </row>
    <row r="1090" spans="1:3" x14ac:dyDescent="0.25">
      <c r="A1090" t="str">
        <f>"0611860601050"</f>
        <v>0611860601050</v>
      </c>
      <c r="B1090" t="str">
        <f>"CE1589"</f>
        <v>CE1589</v>
      </c>
      <c r="C1090" t="s">
        <v>1056</v>
      </c>
    </row>
    <row r="1091" spans="1:3" x14ac:dyDescent="0.25">
      <c r="A1091" t="str">
        <f>"0611860602050"</f>
        <v>0611860602050</v>
      </c>
      <c r="B1091" t="str">
        <f>"CE1469"</f>
        <v>CE1469</v>
      </c>
      <c r="C1091" t="s">
        <v>1057</v>
      </c>
    </row>
    <row r="1092" spans="1:3" x14ac:dyDescent="0.25">
      <c r="A1092" t="str">
        <f>"0611860603050"</f>
        <v>0611860603050</v>
      </c>
      <c r="B1092" t="str">
        <f>"CE1470"</f>
        <v>CE1470</v>
      </c>
      <c r="C1092" t="s">
        <v>1058</v>
      </c>
    </row>
    <row r="1093" spans="1:3" x14ac:dyDescent="0.25">
      <c r="A1093" t="str">
        <f>"0611860604050"</f>
        <v>0611860604050</v>
      </c>
      <c r="B1093" t="str">
        <f>"CE1471"</f>
        <v>CE1471</v>
      </c>
      <c r="C1093" t="s">
        <v>1059</v>
      </c>
    </row>
    <row r="1094" spans="1:3" x14ac:dyDescent="0.25">
      <c r="A1094" t="str">
        <f>"0611860605050"</f>
        <v>0611860605050</v>
      </c>
      <c r="B1094" t="str">
        <f>"CE1472"</f>
        <v>CE1472</v>
      </c>
      <c r="C1094" t="s">
        <v>1060</v>
      </c>
    </row>
    <row r="1095" spans="1:3" x14ac:dyDescent="0.25">
      <c r="A1095" t="str">
        <f>"0611860606050"</f>
        <v>0611860606050</v>
      </c>
      <c r="B1095" t="str">
        <f>"CE1473"</f>
        <v>CE1473</v>
      </c>
      <c r="C1095" t="s">
        <v>1061</v>
      </c>
    </row>
    <row r="1096" spans="1:3" x14ac:dyDescent="0.25">
      <c r="A1096" t="str">
        <f>"0611831381100"</f>
        <v>0611831381100</v>
      </c>
      <c r="B1096" t="str">
        <f>"LB0842"</f>
        <v>LB0842</v>
      </c>
      <c r="C1096" t="s">
        <v>1062</v>
      </c>
    </row>
    <row r="1097" spans="1:3" x14ac:dyDescent="0.25">
      <c r="A1097" t="str">
        <f>"0611831382100"</f>
        <v>0611831382100</v>
      </c>
      <c r="B1097" t="str">
        <f>"LQ3783"</f>
        <v>LQ3783</v>
      </c>
      <c r="C1097" t="s">
        <v>1063</v>
      </c>
    </row>
    <row r="1098" spans="1:3" x14ac:dyDescent="0.25">
      <c r="A1098" t="str">
        <f>"0611831383100"</f>
        <v>0611831383100</v>
      </c>
      <c r="B1098" t="str">
        <f>"LQ3784"</f>
        <v>LQ3784</v>
      </c>
      <c r="C1098" t="s">
        <v>1064</v>
      </c>
    </row>
    <row r="1099" spans="1:3" x14ac:dyDescent="0.25">
      <c r="A1099" t="str">
        <f>"0611856833100"</f>
        <v>0611856833100</v>
      </c>
      <c r="B1099" t="str">
        <f>"LQ3869"</f>
        <v>LQ3869</v>
      </c>
      <c r="C1099" t="s">
        <v>1065</v>
      </c>
    </row>
    <row r="1100" spans="1:3" x14ac:dyDescent="0.25">
      <c r="A1100" t="str">
        <f>"0611831384100"</f>
        <v>0611831384100</v>
      </c>
      <c r="B1100" t="str">
        <f>"LQ3666"</f>
        <v>LQ3666</v>
      </c>
      <c r="C1100" t="s">
        <v>1066</v>
      </c>
    </row>
    <row r="1101" spans="1:3" x14ac:dyDescent="0.25">
      <c r="A1101" t="str">
        <f>"0611831385100"</f>
        <v>0611831385100</v>
      </c>
      <c r="B1101" t="str">
        <f>"LK6595"</f>
        <v>LK6595</v>
      </c>
      <c r="C1101" t="s">
        <v>1067</v>
      </c>
    </row>
    <row r="1102" spans="1:3" x14ac:dyDescent="0.25">
      <c r="A1102" t="str">
        <f>"0611831386100"</f>
        <v>0611831386100</v>
      </c>
      <c r="B1102" t="str">
        <f>"LK6850"</f>
        <v>LK6850</v>
      </c>
      <c r="C1102" t="s">
        <v>1068</v>
      </c>
    </row>
    <row r="1103" spans="1:3" x14ac:dyDescent="0.25">
      <c r="A1103" t="str">
        <f>"0611831387100"</f>
        <v>0611831387100</v>
      </c>
      <c r="B1103" t="str">
        <f>"LK6360"</f>
        <v>LK6360</v>
      </c>
      <c r="C1103" t="s">
        <v>1069</v>
      </c>
    </row>
    <row r="1104" spans="1:3" x14ac:dyDescent="0.25">
      <c r="A1104" t="str">
        <f>"0611831388100"</f>
        <v>0611831388100</v>
      </c>
      <c r="B1104" t="str">
        <f>"LK6020"</f>
        <v>LK6020</v>
      </c>
      <c r="C1104" t="s">
        <v>1070</v>
      </c>
    </row>
    <row r="1105" spans="1:3" x14ac:dyDescent="0.25">
      <c r="A1105" t="str">
        <f>"0611831389100"</f>
        <v>0611831389100</v>
      </c>
      <c r="B1105" t="str">
        <f>"LK6851"</f>
        <v>LK6851</v>
      </c>
      <c r="C1105" t="s">
        <v>1071</v>
      </c>
    </row>
    <row r="1106" spans="1:3" x14ac:dyDescent="0.25">
      <c r="A1106" t="str">
        <f>"0611831390100"</f>
        <v>0611831390100</v>
      </c>
      <c r="B1106" t="str">
        <f>"LK6596"</f>
        <v>LK6596</v>
      </c>
      <c r="C1106" t="s">
        <v>1072</v>
      </c>
    </row>
    <row r="1107" spans="1:3" x14ac:dyDescent="0.25">
      <c r="A1107" t="str">
        <f>"0611831391100"</f>
        <v>0611831391100</v>
      </c>
      <c r="B1107" t="str">
        <f>"LK6361"</f>
        <v>LK6361</v>
      </c>
      <c r="C1107" t="s">
        <v>1073</v>
      </c>
    </row>
    <row r="1108" spans="1:3" x14ac:dyDescent="0.25">
      <c r="A1108" t="str">
        <f>"0611831392100"</f>
        <v>0611831392100</v>
      </c>
      <c r="B1108" t="str">
        <f>"MB0850"</f>
        <v>MB0850</v>
      </c>
      <c r="C1108" t="s">
        <v>1083</v>
      </c>
    </row>
    <row r="1109" spans="1:3" x14ac:dyDescent="0.25">
      <c r="A1109" t="str">
        <f>"0611831255100"</f>
        <v>0611831255100</v>
      </c>
      <c r="B1109" t="str">
        <f>"LK0084"</f>
        <v>LK0084</v>
      </c>
      <c r="C1109" t="s">
        <v>1084</v>
      </c>
    </row>
    <row r="1110" spans="1:3" x14ac:dyDescent="0.25">
      <c r="A1110" t="str">
        <f>"0611831393100"</f>
        <v>0611831393100</v>
      </c>
      <c r="B1110" t="str">
        <f>"LQ3791"</f>
        <v>LQ3791</v>
      </c>
      <c r="C1110" t="s">
        <v>1080</v>
      </c>
    </row>
    <row r="1111" spans="1:3" x14ac:dyDescent="0.25">
      <c r="A1111" t="str">
        <f>"0611831395100"</f>
        <v>0611831395100</v>
      </c>
      <c r="B1111" t="str">
        <f>"LK5996"</f>
        <v>LK5996</v>
      </c>
      <c r="C1111" t="s">
        <v>1081</v>
      </c>
    </row>
    <row r="1112" spans="1:3" x14ac:dyDescent="0.25">
      <c r="A1112" t="str">
        <f>"0611831396100"</f>
        <v>0611831396100</v>
      </c>
      <c r="B1112" t="str">
        <f>"LK5997"</f>
        <v>LK5997</v>
      </c>
      <c r="C1112" t="s">
        <v>1082</v>
      </c>
    </row>
    <row r="1113" spans="1:3" x14ac:dyDescent="0.25">
      <c r="A1113" t="str">
        <f>"0611860607050"</f>
        <v>0611860607050</v>
      </c>
      <c r="B1113" t="str">
        <f>"CE1520"</f>
        <v>CE1520</v>
      </c>
      <c r="C1113" t="s">
        <v>1086</v>
      </c>
    </row>
    <row r="1114" spans="1:3" x14ac:dyDescent="0.25">
      <c r="A1114" t="str">
        <f>"0611860608050"</f>
        <v>0611860608050</v>
      </c>
      <c r="B1114" t="str">
        <f>"CE1293"</f>
        <v>CE1293</v>
      </c>
      <c r="C1114" t="s">
        <v>1087</v>
      </c>
    </row>
    <row r="1115" spans="1:3" x14ac:dyDescent="0.25">
      <c r="A1115" t="str">
        <f>"0611860609050"</f>
        <v>0611860609050</v>
      </c>
      <c r="B1115" t="str">
        <f>"CE1294"</f>
        <v>CE1294</v>
      </c>
      <c r="C1115" t="s">
        <v>1088</v>
      </c>
    </row>
    <row r="1116" spans="1:3" x14ac:dyDescent="0.25">
      <c r="A1116" t="str">
        <f>"0611831406100"</f>
        <v>0611831406100</v>
      </c>
      <c r="B1116" t="str">
        <f>"LK5178"</f>
        <v>LK5178</v>
      </c>
      <c r="C1116" t="s">
        <v>1074</v>
      </c>
    </row>
    <row r="1117" spans="1:3" x14ac:dyDescent="0.25">
      <c r="A1117" t="str">
        <f>"0611831407100"</f>
        <v>0611831407100</v>
      </c>
      <c r="B1117" t="str">
        <f>"LB0930"</f>
        <v>LB0930</v>
      </c>
      <c r="C1117" t="s">
        <v>1075</v>
      </c>
    </row>
    <row r="1118" spans="1:3" x14ac:dyDescent="0.25">
      <c r="A1118" t="str">
        <f>"0611831408100"</f>
        <v>0611831408100</v>
      </c>
      <c r="B1118" t="str">
        <f>"LB0932"</f>
        <v>LB0932</v>
      </c>
      <c r="C1118" t="s">
        <v>1076</v>
      </c>
    </row>
    <row r="1119" spans="1:3" x14ac:dyDescent="0.25">
      <c r="A1119" t="str">
        <f>"0611831409100"</f>
        <v>0611831409100</v>
      </c>
      <c r="B1119" t="str">
        <f>"LB0934"</f>
        <v>LB0934</v>
      </c>
      <c r="C1119" t="s">
        <v>1077</v>
      </c>
    </row>
    <row r="1120" spans="1:3" x14ac:dyDescent="0.25">
      <c r="A1120" t="str">
        <f>"0611831410100"</f>
        <v>0611831410100</v>
      </c>
      <c r="B1120" t="str">
        <f>"LB0977"</f>
        <v>LB0977</v>
      </c>
      <c r="C1120" t="s">
        <v>1078</v>
      </c>
    </row>
    <row r="1121" spans="1:3" x14ac:dyDescent="0.25">
      <c r="A1121" t="str">
        <f>"0611831411100"</f>
        <v>0611831411100</v>
      </c>
      <c r="B1121" t="str">
        <f>"LB0936"</f>
        <v>LB0936</v>
      </c>
      <c r="C1121" t="s">
        <v>1079</v>
      </c>
    </row>
    <row r="1122" spans="1:3" x14ac:dyDescent="0.25">
      <c r="A1122" t="str">
        <f>"0611831412100"</f>
        <v>0611831412100</v>
      </c>
      <c r="B1122" t="str">
        <f>"LK6852"</f>
        <v>LK6852</v>
      </c>
      <c r="C1122" t="s">
        <v>1089</v>
      </c>
    </row>
    <row r="1123" spans="1:3" x14ac:dyDescent="0.25">
      <c r="A1123" t="str">
        <f>"0611831413100"</f>
        <v>0611831413100</v>
      </c>
      <c r="B1123" t="str">
        <f>"LK6853"</f>
        <v>LK6853</v>
      </c>
      <c r="C1123" t="s">
        <v>1090</v>
      </c>
    </row>
    <row r="1124" spans="1:3" x14ac:dyDescent="0.25">
      <c r="A1124" t="str">
        <f>"0611831414100"</f>
        <v>0611831414100</v>
      </c>
      <c r="B1124" t="str">
        <f>"LK6854"</f>
        <v>LK6854</v>
      </c>
      <c r="C1124" t="s">
        <v>1091</v>
      </c>
    </row>
    <row r="1125" spans="1:3" x14ac:dyDescent="0.25">
      <c r="A1125" t="str">
        <f>"0611831415100"</f>
        <v>0611831415100</v>
      </c>
      <c r="B1125" t="str">
        <f>"LK6855"</f>
        <v>LK6855</v>
      </c>
      <c r="C1125" t="s">
        <v>1092</v>
      </c>
    </row>
    <row r="1126" spans="1:3" x14ac:dyDescent="0.25">
      <c r="A1126" t="str">
        <f>"0611831416100"</f>
        <v>0611831416100</v>
      </c>
      <c r="B1126" t="str">
        <f>"LK6856"</f>
        <v>LK6856</v>
      </c>
      <c r="C1126" t="s">
        <v>1093</v>
      </c>
    </row>
    <row r="1127" spans="1:3" x14ac:dyDescent="0.25">
      <c r="A1127" t="str">
        <f>"0611831417100"</f>
        <v>0611831417100</v>
      </c>
      <c r="B1127" t="str">
        <f>"LK6857"</f>
        <v>LK6857</v>
      </c>
      <c r="C1127" t="s">
        <v>1094</v>
      </c>
    </row>
    <row r="1128" spans="1:3" x14ac:dyDescent="0.25">
      <c r="A1128" t="str">
        <f>"0611831418100"</f>
        <v>0611831418100</v>
      </c>
      <c r="B1128" t="str">
        <f>"LK4442"</f>
        <v>LK4442</v>
      </c>
      <c r="C1128" t="s">
        <v>1095</v>
      </c>
    </row>
    <row r="1129" spans="1:3" x14ac:dyDescent="0.25">
      <c r="A1129" t="str">
        <f>"0611831419100"</f>
        <v>0611831419100</v>
      </c>
      <c r="B1129" t="str">
        <f>"LB0895"</f>
        <v>LB0895</v>
      </c>
      <c r="C1129" t="s">
        <v>1096</v>
      </c>
    </row>
    <row r="1130" spans="1:3" x14ac:dyDescent="0.25">
      <c r="A1130" t="str">
        <f>"0611831420100"</f>
        <v>0611831420100</v>
      </c>
      <c r="B1130" t="str">
        <f>"LB0896"</f>
        <v>LB0896</v>
      </c>
      <c r="C1130" t="s">
        <v>1097</v>
      </c>
    </row>
    <row r="1131" spans="1:3" x14ac:dyDescent="0.25">
      <c r="A1131" t="str">
        <f>"0611831421100"</f>
        <v>0611831421100</v>
      </c>
      <c r="B1131" t="str">
        <f>"LB9554"</f>
        <v>LB9554</v>
      </c>
      <c r="C1131" t="s">
        <v>1098</v>
      </c>
    </row>
    <row r="1132" spans="1:3" x14ac:dyDescent="0.25">
      <c r="A1132" t="str">
        <f>"0611831422100"</f>
        <v>0611831422100</v>
      </c>
      <c r="B1132" t="str">
        <f>"LB0898"</f>
        <v>LB0898</v>
      </c>
      <c r="C1132" t="s">
        <v>1099</v>
      </c>
    </row>
    <row r="1133" spans="1:3" x14ac:dyDescent="0.25">
      <c r="A1133" t="str">
        <f>"0611831423100"</f>
        <v>0611831423100</v>
      </c>
      <c r="B1133" t="str">
        <f>"LB0899"</f>
        <v>LB0899</v>
      </c>
      <c r="C1133" t="s">
        <v>1100</v>
      </c>
    </row>
    <row r="1134" spans="1:3" x14ac:dyDescent="0.25">
      <c r="A1134" t="str">
        <f>"0611831424100"</f>
        <v>0611831424100</v>
      </c>
      <c r="B1134" t="str">
        <f>"MB0760"</f>
        <v>MB0760</v>
      </c>
      <c r="C1134" t="s">
        <v>1101</v>
      </c>
    </row>
    <row r="1135" spans="1:3" x14ac:dyDescent="0.25">
      <c r="A1135" t="str">
        <f>"0611831425100"</f>
        <v>0611831425100</v>
      </c>
      <c r="B1135" t="str">
        <f>"LG0771"</f>
        <v>LG0771</v>
      </c>
      <c r="C1135" t="s">
        <v>1102</v>
      </c>
    </row>
    <row r="1136" spans="1:3" x14ac:dyDescent="0.25">
      <c r="A1136" t="str">
        <f>"0611856834100"</f>
        <v>0611856834100</v>
      </c>
      <c r="B1136" t="str">
        <f>"LK7070"</f>
        <v>LK7070</v>
      </c>
      <c r="C1136" t="s">
        <v>1106</v>
      </c>
    </row>
    <row r="1137" spans="1:3" x14ac:dyDescent="0.25">
      <c r="A1137" t="str">
        <f>"0611856835100"</f>
        <v>0611856835100</v>
      </c>
      <c r="B1137" t="str">
        <f>"LK7071"</f>
        <v>LK7071</v>
      </c>
      <c r="C1137" t="s">
        <v>1103</v>
      </c>
    </row>
    <row r="1138" spans="1:3" x14ac:dyDescent="0.25">
      <c r="A1138" t="str">
        <f>"0611906657100"</f>
        <v>0611906657100</v>
      </c>
      <c r="B1138" t="str">
        <f>"LK7210"</f>
        <v>LK7210</v>
      </c>
      <c r="C1138" t="s">
        <v>1108</v>
      </c>
    </row>
    <row r="1139" spans="1:3" x14ac:dyDescent="0.25">
      <c r="A1139" t="str">
        <f>"0611856836100"</f>
        <v>0611856836100</v>
      </c>
      <c r="B1139" t="str">
        <f>"LK7072"</f>
        <v>LK7072</v>
      </c>
      <c r="C1139" t="s">
        <v>1104</v>
      </c>
    </row>
    <row r="1140" spans="1:3" x14ac:dyDescent="0.25">
      <c r="A1140" t="str">
        <f>"0611856837100"</f>
        <v>0611856837100</v>
      </c>
      <c r="B1140" t="str">
        <f>"LK7073"</f>
        <v>LK7073</v>
      </c>
      <c r="C1140" t="s">
        <v>1105</v>
      </c>
    </row>
    <row r="1141" spans="1:3" x14ac:dyDescent="0.25">
      <c r="A1141" t="str">
        <f>"0611884028100"</f>
        <v>0611884028100</v>
      </c>
      <c r="B1141" t="str">
        <f>"LK7124"</f>
        <v>LK7124</v>
      </c>
      <c r="C1141" t="s">
        <v>1107</v>
      </c>
    </row>
    <row r="1142" spans="1:3" x14ac:dyDescent="0.25">
      <c r="A1142" t="str">
        <f>"0611860610050"</f>
        <v>0611860610050</v>
      </c>
      <c r="B1142" t="str">
        <f>"CR5128"</f>
        <v>CR5128</v>
      </c>
      <c r="C1142" t="s">
        <v>1109</v>
      </c>
    </row>
    <row r="1143" spans="1:3" x14ac:dyDescent="0.25">
      <c r="A1143" t="str">
        <f>"0611860611050"</f>
        <v>0611860611050</v>
      </c>
      <c r="B1143" t="str">
        <f>"CR4777"</f>
        <v>CR4777</v>
      </c>
      <c r="C1143" t="s">
        <v>1110</v>
      </c>
    </row>
    <row r="1144" spans="1:3" x14ac:dyDescent="0.25">
      <c r="A1144" t="str">
        <f>"0611860612050"</f>
        <v>0611860612050</v>
      </c>
      <c r="B1144" t="str">
        <f>"CR4778"</f>
        <v>CR4778</v>
      </c>
      <c r="C1144" t="s">
        <v>1111</v>
      </c>
    </row>
    <row r="1145" spans="1:3" x14ac:dyDescent="0.25">
      <c r="A1145" t="str">
        <f>"0611860613050"</f>
        <v>0611860613050</v>
      </c>
      <c r="B1145" t="str">
        <f>"CR4776"</f>
        <v>CR4776</v>
      </c>
      <c r="C1145" t="s">
        <v>1112</v>
      </c>
    </row>
    <row r="1146" spans="1:3" x14ac:dyDescent="0.25">
      <c r="A1146" t="str">
        <f>"0611860614050"</f>
        <v>0611860614050</v>
      </c>
      <c r="B1146" t="str">
        <f>"CR4775"</f>
        <v>CR4775</v>
      </c>
      <c r="C1146" t="s">
        <v>1113</v>
      </c>
    </row>
    <row r="1147" spans="1:3" x14ac:dyDescent="0.25">
      <c r="A1147" t="str">
        <f>"0611860615050"</f>
        <v>0611860615050</v>
      </c>
      <c r="B1147" t="str">
        <f>"CR2046"</f>
        <v>CR2046</v>
      </c>
      <c r="C1147" t="s">
        <v>1114</v>
      </c>
    </row>
    <row r="1148" spans="1:3" x14ac:dyDescent="0.25">
      <c r="A1148" t="str">
        <f>"0611860616050"</f>
        <v>0611860616050</v>
      </c>
      <c r="B1148" t="str">
        <f>"CR5251"</f>
        <v>CR5251</v>
      </c>
      <c r="C1148" t="s">
        <v>1115</v>
      </c>
    </row>
    <row r="1149" spans="1:3" x14ac:dyDescent="0.25">
      <c r="A1149" t="str">
        <f>"0611884029050"</f>
        <v>0611884029050</v>
      </c>
      <c r="B1149" t="str">
        <f>"CR5345"</f>
        <v>CR5345</v>
      </c>
      <c r="C1149" t="s">
        <v>1116</v>
      </c>
    </row>
    <row r="1150" spans="1:3" x14ac:dyDescent="0.25">
      <c r="A1150" t="str">
        <f>"0611860617050"</f>
        <v>0611860617050</v>
      </c>
      <c r="B1150" t="str">
        <f>"CR5126"</f>
        <v>CR5126</v>
      </c>
      <c r="C1150" t="s">
        <v>1117</v>
      </c>
    </row>
    <row r="1151" spans="1:3" x14ac:dyDescent="0.25">
      <c r="A1151" t="str">
        <f>"0611860618050"</f>
        <v>0611860618050</v>
      </c>
      <c r="B1151" t="str">
        <f>"CR4915"</f>
        <v>CR4915</v>
      </c>
      <c r="C1151" t="s">
        <v>1118</v>
      </c>
    </row>
    <row r="1152" spans="1:3" x14ac:dyDescent="0.25">
      <c r="A1152" t="str">
        <f>"0611860619050"</f>
        <v>0611860619050</v>
      </c>
      <c r="B1152" t="str">
        <f>"CR2047"</f>
        <v>CR2047</v>
      </c>
      <c r="C1152" t="s">
        <v>1119</v>
      </c>
    </row>
    <row r="1153" spans="1:3" x14ac:dyDescent="0.25">
      <c r="A1153" t="str">
        <f>"0611860620050"</f>
        <v>0611860620050</v>
      </c>
      <c r="B1153" t="str">
        <f>"CR3700"</f>
        <v>CR3700</v>
      </c>
      <c r="C1153" t="s">
        <v>1120</v>
      </c>
    </row>
    <row r="1154" spans="1:3" x14ac:dyDescent="0.25">
      <c r="A1154" t="str">
        <f>"0611860621050"</f>
        <v>0611860621050</v>
      </c>
      <c r="B1154" t="str">
        <f>"CR4779"</f>
        <v>CR4779</v>
      </c>
      <c r="C1154" t="s">
        <v>1121</v>
      </c>
    </row>
    <row r="1155" spans="1:3" x14ac:dyDescent="0.25">
      <c r="A1155" t="str">
        <f>"0611860622050"</f>
        <v>0611860622050</v>
      </c>
      <c r="B1155" t="str">
        <f>"CR3583"</f>
        <v>CR3583</v>
      </c>
      <c r="C1155" t="s">
        <v>1122</v>
      </c>
    </row>
    <row r="1156" spans="1:3" x14ac:dyDescent="0.25">
      <c r="A1156" t="str">
        <f>"0611860623050"</f>
        <v>0611860623050</v>
      </c>
      <c r="B1156" t="str">
        <f>"CR4916"</f>
        <v>CR4916</v>
      </c>
      <c r="C1156" t="s">
        <v>1123</v>
      </c>
    </row>
    <row r="1157" spans="1:3" x14ac:dyDescent="0.25">
      <c r="A1157" t="str">
        <f>"0611860624050"</f>
        <v>0611860624050</v>
      </c>
      <c r="B1157" t="str">
        <f>"CR3843"</f>
        <v>CR3843</v>
      </c>
      <c r="C1157" t="s">
        <v>1124</v>
      </c>
    </row>
    <row r="1158" spans="1:3" x14ac:dyDescent="0.25">
      <c r="A1158" t="str">
        <f>"0611860625050"</f>
        <v>0611860625050</v>
      </c>
      <c r="B1158" t="str">
        <f>"CR3846"</f>
        <v>CR3846</v>
      </c>
      <c r="C1158" t="s">
        <v>1125</v>
      </c>
    </row>
    <row r="1159" spans="1:3" x14ac:dyDescent="0.25">
      <c r="A1159" t="str">
        <f>"0611884030050"</f>
        <v>0611884030050</v>
      </c>
      <c r="B1159" t="str">
        <f>"CR5338"</f>
        <v>CR5338</v>
      </c>
      <c r="C1159" t="s">
        <v>1126</v>
      </c>
    </row>
    <row r="1160" spans="1:3" x14ac:dyDescent="0.25">
      <c r="A1160" t="str">
        <f>"0611860626050"</f>
        <v>0611860626050</v>
      </c>
      <c r="B1160" t="str">
        <f>"CR3848"</f>
        <v>CR3848</v>
      </c>
      <c r="C1160" t="s">
        <v>1127</v>
      </c>
    </row>
    <row r="1161" spans="1:3" x14ac:dyDescent="0.25">
      <c r="A1161" t="str">
        <f>"0611860627050"</f>
        <v>0611860627050</v>
      </c>
      <c r="B1161" t="str">
        <f>"CR3847"</f>
        <v>CR3847</v>
      </c>
      <c r="C1161" t="s">
        <v>1128</v>
      </c>
    </row>
    <row r="1162" spans="1:3" x14ac:dyDescent="0.25">
      <c r="A1162" t="str">
        <f>"0611860628050"</f>
        <v>0611860628050</v>
      </c>
      <c r="B1162" t="str">
        <f>"CR3845"</f>
        <v>CR3845</v>
      </c>
      <c r="C1162" t="s">
        <v>1129</v>
      </c>
    </row>
    <row r="1163" spans="1:3" x14ac:dyDescent="0.25">
      <c r="A1163" t="str">
        <f>"0611860629050"</f>
        <v>0611860629050</v>
      </c>
      <c r="B1163" t="str">
        <f>"CR3844"</f>
        <v>CR3844</v>
      </c>
      <c r="C1163" t="s">
        <v>1130</v>
      </c>
    </row>
    <row r="1164" spans="1:3" x14ac:dyDescent="0.25">
      <c r="A1164" t="str">
        <f>"0611860630050"</f>
        <v>0611860630050</v>
      </c>
      <c r="B1164" t="str">
        <f>"CR3849"</f>
        <v>CR3849</v>
      </c>
      <c r="C1164" t="s">
        <v>1131</v>
      </c>
    </row>
    <row r="1165" spans="1:3" x14ac:dyDescent="0.25">
      <c r="A1165" t="str">
        <f>"0611860631050"</f>
        <v>0611860631050</v>
      </c>
      <c r="B1165" t="str">
        <f>"CR3968"</f>
        <v>CR3968</v>
      </c>
      <c r="C1165" t="s">
        <v>1132</v>
      </c>
    </row>
    <row r="1166" spans="1:3" x14ac:dyDescent="0.25">
      <c r="A1166" t="str">
        <f>"0611860632050"</f>
        <v>0611860632050</v>
      </c>
      <c r="B1166" t="str">
        <f>"CR5127"</f>
        <v>CR5127</v>
      </c>
      <c r="C1166" t="s">
        <v>1133</v>
      </c>
    </row>
    <row r="1167" spans="1:3" x14ac:dyDescent="0.25">
      <c r="A1167" t="str">
        <f>"0611860633050"</f>
        <v>0611860633050</v>
      </c>
      <c r="B1167" t="str">
        <f>"CR2787"</f>
        <v>CR2787</v>
      </c>
      <c r="C1167" t="s">
        <v>1134</v>
      </c>
    </row>
    <row r="1168" spans="1:3" x14ac:dyDescent="0.25">
      <c r="A1168" t="str">
        <f>"0611884031050"</f>
        <v>0611884031050</v>
      </c>
      <c r="B1168" t="str">
        <f>"CR5424"</f>
        <v>CR5424</v>
      </c>
      <c r="C1168" t="s">
        <v>1135</v>
      </c>
    </row>
    <row r="1169" spans="1:3" x14ac:dyDescent="0.25">
      <c r="A1169" t="str">
        <f>"0611860634050"</f>
        <v>0611860634050</v>
      </c>
      <c r="B1169" t="str">
        <f>"CR3969"</f>
        <v>CR3969</v>
      </c>
      <c r="C1169" t="s">
        <v>1136</v>
      </c>
    </row>
    <row r="1170" spans="1:3" x14ac:dyDescent="0.25">
      <c r="A1170" t="str">
        <f>"0611884032050"</f>
        <v>0611884032050</v>
      </c>
      <c r="B1170" t="str">
        <f>"CR5386"</f>
        <v>CR5386</v>
      </c>
      <c r="C1170" t="s">
        <v>1137</v>
      </c>
    </row>
    <row r="1171" spans="1:3" x14ac:dyDescent="0.25">
      <c r="A1171" t="str">
        <f>"0611860635050"</f>
        <v>0611860635050</v>
      </c>
      <c r="B1171" t="str">
        <f>"CR2788"</f>
        <v>CR2788</v>
      </c>
      <c r="C1171" t="s">
        <v>1138</v>
      </c>
    </row>
    <row r="1172" spans="1:3" x14ac:dyDescent="0.25">
      <c r="A1172" t="str">
        <f>"0611860636050"</f>
        <v>0611860636050</v>
      </c>
      <c r="B1172" t="str">
        <f>"CR4774"</f>
        <v>CR4774</v>
      </c>
      <c r="C1172" t="s">
        <v>1139</v>
      </c>
    </row>
    <row r="1173" spans="1:3" x14ac:dyDescent="0.25">
      <c r="A1173" t="str">
        <f>"0611860637050"</f>
        <v>0611860637050</v>
      </c>
      <c r="B1173" t="str">
        <f>"CR2050"</f>
        <v>CR2050</v>
      </c>
      <c r="C1173" t="s">
        <v>1140</v>
      </c>
    </row>
    <row r="1174" spans="1:3" x14ac:dyDescent="0.25">
      <c r="A1174" t="str">
        <f>"0611831428100"</f>
        <v>0611831428100</v>
      </c>
      <c r="B1174" t="str">
        <f>"LB1020"</f>
        <v>LB1020</v>
      </c>
      <c r="C1174" t="s">
        <v>1141</v>
      </c>
    </row>
    <row r="1175" spans="1:3" x14ac:dyDescent="0.25">
      <c r="A1175" t="str">
        <f>"0611831426100"</f>
        <v>0611831426100</v>
      </c>
      <c r="B1175" t="str">
        <f>"LK4444"</f>
        <v>LK4444</v>
      </c>
      <c r="C1175" t="s">
        <v>1142</v>
      </c>
    </row>
    <row r="1176" spans="1:3" x14ac:dyDescent="0.25">
      <c r="A1176" t="str">
        <f>"0611831429100"</f>
        <v>0611831429100</v>
      </c>
      <c r="B1176" t="str">
        <f>"LK5721"</f>
        <v>LK5721</v>
      </c>
      <c r="C1176" t="s">
        <v>1143</v>
      </c>
    </row>
    <row r="1177" spans="1:3" x14ac:dyDescent="0.25">
      <c r="A1177" t="str">
        <f>"0611831430100"</f>
        <v>0611831430100</v>
      </c>
      <c r="B1177" t="str">
        <f>"LB1184"</f>
        <v>LB1184</v>
      </c>
      <c r="C1177" t="s">
        <v>1144</v>
      </c>
    </row>
    <row r="1178" spans="1:3" x14ac:dyDescent="0.25">
      <c r="A1178" t="str">
        <f>"0611831431100"</f>
        <v>0611831431100</v>
      </c>
      <c r="B1178" t="str">
        <f>"LB0944"</f>
        <v>LB0944</v>
      </c>
      <c r="C1178" t="s">
        <v>1145</v>
      </c>
    </row>
    <row r="1179" spans="1:3" x14ac:dyDescent="0.25">
      <c r="A1179" t="str">
        <f>"0611831432100"</f>
        <v>0611831432100</v>
      </c>
      <c r="B1179" t="str">
        <f>"LB1183"</f>
        <v>LB1183</v>
      </c>
      <c r="C1179" t="s">
        <v>1147</v>
      </c>
    </row>
    <row r="1180" spans="1:3" x14ac:dyDescent="0.25">
      <c r="A1180" t="str">
        <f>"0611831433100"</f>
        <v>0611831433100</v>
      </c>
      <c r="B1180" t="str">
        <f>"LK3293"</f>
        <v>LK3293</v>
      </c>
      <c r="C1180" t="s">
        <v>1146</v>
      </c>
    </row>
    <row r="1181" spans="1:3" x14ac:dyDescent="0.25">
      <c r="A1181" t="str">
        <f>"0611831434100"</f>
        <v>0611831434100</v>
      </c>
      <c r="B1181" t="str">
        <f>"LB0909"</f>
        <v>LB0909</v>
      </c>
      <c r="C1181" t="s">
        <v>1148</v>
      </c>
    </row>
    <row r="1182" spans="1:3" x14ac:dyDescent="0.25">
      <c r="A1182" t="str">
        <f>"0611831436100"</f>
        <v>0611831436100</v>
      </c>
      <c r="B1182" t="str">
        <f>"LQ3667"</f>
        <v>LQ3667</v>
      </c>
      <c r="C1182" t="s">
        <v>1149</v>
      </c>
    </row>
    <row r="1183" spans="1:3" x14ac:dyDescent="0.25">
      <c r="A1183" t="str">
        <f>"0611831437100"</f>
        <v>0611831437100</v>
      </c>
      <c r="B1183" t="str">
        <f>"LB1045"</f>
        <v>LB1045</v>
      </c>
      <c r="C1183" t="s">
        <v>1150</v>
      </c>
    </row>
    <row r="1184" spans="1:3" x14ac:dyDescent="0.25">
      <c r="A1184" t="str">
        <f>"0611831438100"</f>
        <v>0611831438100</v>
      </c>
      <c r="B1184" t="str">
        <f>"LB0905"</f>
        <v>LB0905</v>
      </c>
      <c r="C1184" t="s">
        <v>1003</v>
      </c>
    </row>
    <row r="1185" spans="1:3" x14ac:dyDescent="0.25">
      <c r="A1185" t="str">
        <f>"0611884033100"</f>
        <v>0611884033100</v>
      </c>
      <c r="B1185" t="str">
        <f>"LK7146"</f>
        <v>LK7146</v>
      </c>
      <c r="C1185" t="s">
        <v>1151</v>
      </c>
    </row>
    <row r="1186" spans="1:3" x14ac:dyDescent="0.25">
      <c r="A1186" t="str">
        <f>"0611884034100"</f>
        <v>0611884034100</v>
      </c>
      <c r="B1186" t="str">
        <f>"LK7147"</f>
        <v>LK7147</v>
      </c>
      <c r="C1186" t="s">
        <v>1152</v>
      </c>
    </row>
    <row r="1187" spans="1:3" x14ac:dyDescent="0.25">
      <c r="A1187" t="str">
        <f>"0611884035100"</f>
        <v>0611884035100</v>
      </c>
      <c r="B1187" t="str">
        <f>"LK7148"</f>
        <v>LK7148</v>
      </c>
      <c r="C1187" t="s">
        <v>1153</v>
      </c>
    </row>
    <row r="1188" spans="1:3" x14ac:dyDescent="0.25">
      <c r="A1188" t="str">
        <f>"0611906658100"</f>
        <v>0611906658100</v>
      </c>
      <c r="B1188" t="str">
        <f>"LK7206"</f>
        <v>LK7206</v>
      </c>
      <c r="C1188" t="s">
        <v>1156</v>
      </c>
    </row>
    <row r="1189" spans="1:3" x14ac:dyDescent="0.25">
      <c r="A1189" t="str">
        <f>"0611884036100"</f>
        <v>0611884036100</v>
      </c>
      <c r="B1189" t="str">
        <f>"LK7154"</f>
        <v>LK7154</v>
      </c>
      <c r="C1189" t="s">
        <v>1154</v>
      </c>
    </row>
    <row r="1190" spans="1:3" x14ac:dyDescent="0.25">
      <c r="A1190" t="str">
        <f>"0611884037100"</f>
        <v>0611884037100</v>
      </c>
      <c r="B1190" t="str">
        <f>"LK7149"</f>
        <v>LK7149</v>
      </c>
      <c r="C1190" t="s">
        <v>1155</v>
      </c>
    </row>
    <row r="1191" spans="1:3" x14ac:dyDescent="0.25">
      <c r="A1191" t="str">
        <f>"0611884038100"</f>
        <v>0611884038100</v>
      </c>
      <c r="B1191" t="str">
        <f>"LK7150"</f>
        <v>LK7150</v>
      </c>
      <c r="C1191" t="s">
        <v>1157</v>
      </c>
    </row>
    <row r="1192" spans="1:3" x14ac:dyDescent="0.25">
      <c r="A1192" t="str">
        <f>"0611884039100"</f>
        <v>0611884039100</v>
      </c>
      <c r="B1192" t="str">
        <f>"LK7151"</f>
        <v>LK7151</v>
      </c>
      <c r="C1192" t="s">
        <v>1158</v>
      </c>
    </row>
    <row r="1193" spans="1:3" x14ac:dyDescent="0.25">
      <c r="A1193" t="str">
        <f>"0611884040100"</f>
        <v>0611884040100</v>
      </c>
      <c r="B1193" t="str">
        <f>"LK7152"</f>
        <v>LK7152</v>
      </c>
      <c r="C1193" t="s">
        <v>1159</v>
      </c>
    </row>
    <row r="1194" spans="1:3" x14ac:dyDescent="0.25">
      <c r="A1194" t="str">
        <f>"0611884041100"</f>
        <v>0611884041100</v>
      </c>
      <c r="B1194" t="str">
        <f>"LK7153"</f>
        <v>LK7153</v>
      </c>
      <c r="C1194" t="s">
        <v>1160</v>
      </c>
    </row>
    <row r="1195" spans="1:3" x14ac:dyDescent="0.25">
      <c r="A1195" t="str">
        <f>"0611831440100"</f>
        <v>0611831440100</v>
      </c>
      <c r="B1195" t="str">
        <f>"LK0436"</f>
        <v>LK0436</v>
      </c>
      <c r="C1195" t="s">
        <v>1161</v>
      </c>
    </row>
    <row r="1196" spans="1:3" x14ac:dyDescent="0.25">
      <c r="A1196" t="str">
        <f>"0611831441100"</f>
        <v>0611831441100</v>
      </c>
      <c r="B1196" t="str">
        <f>"LK6023"</f>
        <v>LK6023</v>
      </c>
      <c r="C1196" t="s">
        <v>1162</v>
      </c>
    </row>
    <row r="1197" spans="1:3" x14ac:dyDescent="0.25">
      <c r="A1197" t="str">
        <f>"0611831442100"</f>
        <v>0611831442100</v>
      </c>
      <c r="B1197" t="str">
        <f>"LK6199"</f>
        <v>LK6199</v>
      </c>
      <c r="C1197" t="s">
        <v>1163</v>
      </c>
    </row>
    <row r="1198" spans="1:3" x14ac:dyDescent="0.25">
      <c r="A1198" t="str">
        <f>"0611831443100"</f>
        <v>0611831443100</v>
      </c>
      <c r="B1198" t="str">
        <f>"LK6024"</f>
        <v>LK6024</v>
      </c>
      <c r="C1198" t="s">
        <v>1164</v>
      </c>
    </row>
    <row r="1199" spans="1:3" x14ac:dyDescent="0.25">
      <c r="A1199" t="str">
        <f>"0611831446100"</f>
        <v>0611831446100</v>
      </c>
      <c r="B1199" t="str">
        <f>"LK6324"</f>
        <v>LK6324</v>
      </c>
      <c r="C1199" t="s">
        <v>1165</v>
      </c>
    </row>
    <row r="1200" spans="1:3" x14ac:dyDescent="0.25">
      <c r="A1200" t="str">
        <f>"0611831444100"</f>
        <v>0611831444100</v>
      </c>
      <c r="B1200" t="str">
        <f>"LK5999"</f>
        <v>LK5999</v>
      </c>
      <c r="C1200" t="s">
        <v>1166</v>
      </c>
    </row>
    <row r="1201" spans="1:3" x14ac:dyDescent="0.25">
      <c r="A1201" t="str">
        <f>"0611831445100"</f>
        <v>0611831445100</v>
      </c>
      <c r="B1201" t="str">
        <f>"LK6000"</f>
        <v>LK6000</v>
      </c>
      <c r="C1201" t="s">
        <v>1167</v>
      </c>
    </row>
    <row r="1202" spans="1:3" x14ac:dyDescent="0.25">
      <c r="A1202" t="str">
        <f>"0611856838100"</f>
        <v>0611856838100</v>
      </c>
      <c r="B1202" t="str">
        <f>"LK7046"</f>
        <v>LK7046</v>
      </c>
      <c r="C1202" t="s">
        <v>1168</v>
      </c>
    </row>
    <row r="1203" spans="1:3" x14ac:dyDescent="0.25">
      <c r="A1203" t="str">
        <f>"0611860638050"</f>
        <v>0611860638050</v>
      </c>
      <c r="B1203" t="str">
        <f>"CR5129"</f>
        <v>CR5129</v>
      </c>
      <c r="C1203" t="s">
        <v>1169</v>
      </c>
    </row>
    <row r="1204" spans="1:3" x14ac:dyDescent="0.25">
      <c r="A1204" t="str">
        <f>"0611884042050"</f>
        <v>0611884042050</v>
      </c>
      <c r="B1204" t="str">
        <f>"CR5331"</f>
        <v>CR5331</v>
      </c>
      <c r="C1204" t="s">
        <v>1170</v>
      </c>
    </row>
    <row r="1205" spans="1:3" x14ac:dyDescent="0.25">
      <c r="A1205" t="str">
        <f>"0611860639050"</f>
        <v>0611860639050</v>
      </c>
      <c r="B1205" t="str">
        <f>"CR4085"</f>
        <v>CR4085</v>
      </c>
      <c r="C1205" t="s">
        <v>1171</v>
      </c>
    </row>
    <row r="1206" spans="1:3" x14ac:dyDescent="0.25">
      <c r="A1206" t="str">
        <f>"0611884043050"</f>
        <v>0611884043050</v>
      </c>
      <c r="B1206" t="str">
        <f>"CR5332"</f>
        <v>CR5332</v>
      </c>
      <c r="C1206" t="s">
        <v>1172</v>
      </c>
    </row>
    <row r="1207" spans="1:3" x14ac:dyDescent="0.25">
      <c r="A1207" t="str">
        <f>"0611860640050"</f>
        <v>0611860640050</v>
      </c>
      <c r="B1207" t="str">
        <f>"CR4086"</f>
        <v>CR4086</v>
      </c>
      <c r="C1207" t="s">
        <v>1173</v>
      </c>
    </row>
    <row r="1208" spans="1:3" x14ac:dyDescent="0.25">
      <c r="A1208" t="str">
        <f>"0611860641050"</f>
        <v>0611860641050</v>
      </c>
      <c r="B1208" t="str">
        <f>"CR5130"</f>
        <v>CR5130</v>
      </c>
      <c r="C1208" t="s">
        <v>1174</v>
      </c>
    </row>
    <row r="1209" spans="1:3" x14ac:dyDescent="0.25">
      <c r="A1209" t="str">
        <f>"0611860642050"</f>
        <v>0611860642050</v>
      </c>
      <c r="B1209" t="str">
        <f>"CR4087"</f>
        <v>CR4087</v>
      </c>
      <c r="C1209" t="s">
        <v>1175</v>
      </c>
    </row>
    <row r="1210" spans="1:3" x14ac:dyDescent="0.25">
      <c r="A1210" t="str">
        <f>"0611860643050"</f>
        <v>0611860643050</v>
      </c>
      <c r="B1210" t="str">
        <f>"CR5131"</f>
        <v>CR5131</v>
      </c>
      <c r="C1210" t="s">
        <v>1176</v>
      </c>
    </row>
    <row r="1211" spans="1:3" x14ac:dyDescent="0.25">
      <c r="A1211" t="str">
        <f>"0611884044050"</f>
        <v>0611884044050</v>
      </c>
      <c r="B1211" t="str">
        <f>"CR5330"</f>
        <v>CR5330</v>
      </c>
      <c r="C1211" t="s">
        <v>1177</v>
      </c>
    </row>
    <row r="1212" spans="1:3" x14ac:dyDescent="0.25">
      <c r="A1212" t="str">
        <f>"0611831447100"</f>
        <v>0611831447100</v>
      </c>
      <c r="B1212" t="str">
        <f>"LQ3504"</f>
        <v>LQ3504</v>
      </c>
      <c r="C1212" t="s">
        <v>1178</v>
      </c>
    </row>
    <row r="1213" spans="1:3" x14ac:dyDescent="0.25">
      <c r="A1213" t="str">
        <f>"0611860644050"</f>
        <v>0611860644050</v>
      </c>
      <c r="B1213" t="str">
        <f>"CR2031"</f>
        <v>CR2031</v>
      </c>
      <c r="C1213" t="s">
        <v>1179</v>
      </c>
    </row>
    <row r="1214" spans="1:3" x14ac:dyDescent="0.25">
      <c r="A1214" t="str">
        <f>"0611831448100"</f>
        <v>0611831448100</v>
      </c>
      <c r="B1214" t="str">
        <f>"LQ3505"</f>
        <v>LQ3505</v>
      </c>
      <c r="C1214" t="s">
        <v>1180</v>
      </c>
    </row>
    <row r="1215" spans="1:3" x14ac:dyDescent="0.25">
      <c r="A1215" t="str">
        <f>"0611831449100"</f>
        <v>0611831449100</v>
      </c>
      <c r="B1215" t="str">
        <f>"LQ3506"</f>
        <v>LQ3506</v>
      </c>
      <c r="C1215" t="s">
        <v>1181</v>
      </c>
    </row>
    <row r="1216" spans="1:3" x14ac:dyDescent="0.25">
      <c r="A1216" t="str">
        <f>"0611860645050"</f>
        <v>0611860645050</v>
      </c>
      <c r="B1216" t="str">
        <f>"CR2032"</f>
        <v>CR2032</v>
      </c>
      <c r="C1216" t="s">
        <v>1182</v>
      </c>
    </row>
    <row r="1217" spans="1:3" x14ac:dyDescent="0.25">
      <c r="A1217" t="str">
        <f>"0611831450100"</f>
        <v>0611831450100</v>
      </c>
      <c r="B1217" t="str">
        <f>"LQ3637"</f>
        <v>LQ3637</v>
      </c>
      <c r="C1217" t="s">
        <v>1183</v>
      </c>
    </row>
    <row r="1218" spans="1:3" x14ac:dyDescent="0.25">
      <c r="A1218" t="str">
        <f>"0611831625100"</f>
        <v>0611831625100</v>
      </c>
      <c r="B1218" t="str">
        <f>"LK4446"</f>
        <v>LK4446</v>
      </c>
      <c r="C1218" t="s">
        <v>1184</v>
      </c>
    </row>
    <row r="1219" spans="1:3" x14ac:dyDescent="0.25">
      <c r="A1219" t="str">
        <f>"0611831626100"</f>
        <v>0611831626100</v>
      </c>
      <c r="B1219" t="str">
        <f>"LK4635"</f>
        <v>LK4635</v>
      </c>
      <c r="C1219" t="s">
        <v>1185</v>
      </c>
    </row>
    <row r="1220" spans="1:3" x14ac:dyDescent="0.25">
      <c r="A1220" t="str">
        <f>"0611831627100"</f>
        <v>0611831627100</v>
      </c>
      <c r="B1220" t="str">
        <f>"LK4445"</f>
        <v>LK4445</v>
      </c>
      <c r="C1220" t="s">
        <v>1186</v>
      </c>
    </row>
    <row r="1221" spans="1:3" x14ac:dyDescent="0.25">
      <c r="A1221" t="str">
        <f>"0611831628100"</f>
        <v>0611831628100</v>
      </c>
      <c r="B1221" t="str">
        <f>"LK4637"</f>
        <v>LK4637</v>
      </c>
      <c r="C1221" t="s">
        <v>1187</v>
      </c>
    </row>
    <row r="1222" spans="1:3" x14ac:dyDescent="0.25">
      <c r="A1222" t="str">
        <f>"0611831451100"</f>
        <v>0611831451100</v>
      </c>
      <c r="B1222" t="str">
        <f>"LQ3669"</f>
        <v>LQ3669</v>
      </c>
      <c r="C1222" t="s">
        <v>1188</v>
      </c>
    </row>
    <row r="1223" spans="1:3" x14ac:dyDescent="0.25">
      <c r="A1223" t="str">
        <f>"0611831452100"</f>
        <v>0611831452100</v>
      </c>
      <c r="B1223" t="str">
        <f>"LK4624"</f>
        <v>LK4624</v>
      </c>
      <c r="C1223" t="s">
        <v>1189</v>
      </c>
    </row>
    <row r="1224" spans="1:3" x14ac:dyDescent="0.25">
      <c r="A1224" t="str">
        <f>"0611831453100"</f>
        <v>0611831453100</v>
      </c>
      <c r="B1224" t="str">
        <f>"LK2745"</f>
        <v>LK2745</v>
      </c>
      <c r="C1224" t="s">
        <v>1190</v>
      </c>
    </row>
    <row r="1225" spans="1:3" x14ac:dyDescent="0.25">
      <c r="A1225" t="str">
        <f>"0611831454100"</f>
        <v>0611831454100</v>
      </c>
      <c r="B1225" t="str">
        <f>"LK2746"</f>
        <v>LK2746</v>
      </c>
      <c r="C1225" t="s">
        <v>1191</v>
      </c>
    </row>
    <row r="1226" spans="1:3" x14ac:dyDescent="0.25">
      <c r="A1226" t="str">
        <f>"0611831455100"</f>
        <v>0611831455100</v>
      </c>
      <c r="B1226" t="str">
        <f>"LK3287"</f>
        <v>LK3287</v>
      </c>
      <c r="C1226" t="s">
        <v>1192</v>
      </c>
    </row>
    <row r="1227" spans="1:3" x14ac:dyDescent="0.25">
      <c r="A1227" t="str">
        <f>"0611831456100"</f>
        <v>0611831456100</v>
      </c>
      <c r="B1227" t="str">
        <f>"LK2747"</f>
        <v>LK2747</v>
      </c>
      <c r="C1227" t="s">
        <v>1193</v>
      </c>
    </row>
    <row r="1228" spans="1:3" x14ac:dyDescent="0.25">
      <c r="A1228" t="str">
        <f>"0611831457100"</f>
        <v>0611831457100</v>
      </c>
      <c r="B1228" t="str">
        <f>"LK2748"</f>
        <v>LK2748</v>
      </c>
      <c r="C1228" t="s">
        <v>1194</v>
      </c>
    </row>
    <row r="1229" spans="1:3" x14ac:dyDescent="0.25">
      <c r="A1229" t="str">
        <f>"0611831458100"</f>
        <v>0611831458100</v>
      </c>
      <c r="B1229" t="str">
        <f>"LK2749"</f>
        <v>LK2749</v>
      </c>
      <c r="C1229" t="s">
        <v>1195</v>
      </c>
    </row>
    <row r="1230" spans="1:3" x14ac:dyDescent="0.25">
      <c r="A1230" t="str">
        <f>"0611831459100"</f>
        <v>0611831459100</v>
      </c>
      <c r="B1230" t="str">
        <f>"LB1021"</f>
        <v>LB1021</v>
      </c>
      <c r="C1230" t="s">
        <v>1196</v>
      </c>
    </row>
    <row r="1231" spans="1:3" x14ac:dyDescent="0.25">
      <c r="A1231" t="str">
        <f>"0611831461100"</f>
        <v>0611831461100</v>
      </c>
      <c r="B1231" t="str">
        <f>"LB1170"</f>
        <v>LB1170</v>
      </c>
      <c r="C1231" t="s">
        <v>1197</v>
      </c>
    </row>
    <row r="1232" spans="1:3" x14ac:dyDescent="0.25">
      <c r="A1232" t="str">
        <f>"0611831463100"</f>
        <v>0611831463100</v>
      </c>
      <c r="B1232" t="str">
        <f>"LK1534"</f>
        <v>LK1534</v>
      </c>
      <c r="C1232" t="s">
        <v>1198</v>
      </c>
    </row>
    <row r="1233" spans="1:3" x14ac:dyDescent="0.25">
      <c r="A1233" t="str">
        <f>"0611831464100"</f>
        <v>0611831464100</v>
      </c>
      <c r="B1233" t="str">
        <f>"LK4785"</f>
        <v>LK4785</v>
      </c>
      <c r="C1233" t="s">
        <v>1199</v>
      </c>
    </row>
    <row r="1234" spans="1:3" x14ac:dyDescent="0.25">
      <c r="A1234" t="str">
        <f>"0611831465100"</f>
        <v>0611831465100</v>
      </c>
      <c r="B1234" t="str">
        <f>"LK3296"</f>
        <v>LK3296</v>
      </c>
      <c r="C1234" t="s">
        <v>1200</v>
      </c>
    </row>
    <row r="1235" spans="1:3" x14ac:dyDescent="0.25">
      <c r="A1235" t="str">
        <f>"0611831466100"</f>
        <v>0611831466100</v>
      </c>
      <c r="B1235" t="str">
        <f>"LK6895"</f>
        <v>LK6895</v>
      </c>
      <c r="C1235" t="s">
        <v>1201</v>
      </c>
    </row>
    <row r="1236" spans="1:3" x14ac:dyDescent="0.25">
      <c r="A1236" t="str">
        <f>"0611906659100"</f>
        <v>0611906659100</v>
      </c>
      <c r="B1236" t="str">
        <f>"LK7240"</f>
        <v>LK7240</v>
      </c>
      <c r="C1236" t="s">
        <v>1202</v>
      </c>
    </row>
    <row r="1237" spans="1:3" x14ac:dyDescent="0.25">
      <c r="A1237" t="str">
        <f>"0611906661100"</f>
        <v>0611906661100</v>
      </c>
      <c r="B1237" t="str">
        <f>"LK7241"</f>
        <v>LK7241</v>
      </c>
      <c r="C1237" t="s">
        <v>1211</v>
      </c>
    </row>
    <row r="1238" spans="1:3" x14ac:dyDescent="0.25">
      <c r="A1238" t="str">
        <f>"0611906663100"</f>
        <v>0611906663100</v>
      </c>
      <c r="B1238" t="str">
        <f>"LK7242"</f>
        <v>LK7242</v>
      </c>
      <c r="C1238" t="s">
        <v>1226</v>
      </c>
    </row>
    <row r="1239" spans="1:3" x14ac:dyDescent="0.25">
      <c r="A1239" t="str">
        <f>"0611906660100"</f>
        <v>0611906660100</v>
      </c>
      <c r="B1239" t="str">
        <f>"LK7239"</f>
        <v>LK7239</v>
      </c>
      <c r="C1239" t="s">
        <v>1205</v>
      </c>
    </row>
    <row r="1240" spans="1:3" x14ac:dyDescent="0.25">
      <c r="A1240" t="str">
        <f>"0611831468100"</f>
        <v>0611831468100</v>
      </c>
      <c r="B1240" t="str">
        <f>"LK6986"</f>
        <v>LK6986</v>
      </c>
      <c r="C1240" t="s">
        <v>1203</v>
      </c>
    </row>
    <row r="1241" spans="1:3" x14ac:dyDescent="0.25">
      <c r="A1241" t="str">
        <f>"0611884045100"</f>
        <v>0611884045100</v>
      </c>
      <c r="B1241" t="str">
        <f>"LK7160"</f>
        <v>LK7160</v>
      </c>
      <c r="C1241" t="s">
        <v>1204</v>
      </c>
    </row>
    <row r="1242" spans="1:3" x14ac:dyDescent="0.25">
      <c r="A1242" t="str">
        <f>"0611831469100"</f>
        <v>0611831469100</v>
      </c>
      <c r="B1242" t="str">
        <f>"LK0551"</f>
        <v>LK0551</v>
      </c>
      <c r="C1242" t="s">
        <v>1206</v>
      </c>
    </row>
    <row r="1243" spans="1:3" x14ac:dyDescent="0.25">
      <c r="A1243" t="str">
        <f>"0611831470100"</f>
        <v>0611831470100</v>
      </c>
      <c r="B1243" t="str">
        <f>"LK6893"</f>
        <v>LK6893</v>
      </c>
      <c r="C1243" t="s">
        <v>1207</v>
      </c>
    </row>
    <row r="1244" spans="1:3" x14ac:dyDescent="0.25">
      <c r="A1244" t="str">
        <f>"0611831471100"</f>
        <v>0611831471100</v>
      </c>
      <c r="B1244" t="str">
        <f>"LK6894"</f>
        <v>LK6894</v>
      </c>
      <c r="C1244" t="s">
        <v>1208</v>
      </c>
    </row>
    <row r="1245" spans="1:3" x14ac:dyDescent="0.25">
      <c r="A1245" t="str">
        <f>"0611831472100"</f>
        <v>0611831472100</v>
      </c>
      <c r="B1245" t="str">
        <f>"LK6987"</f>
        <v>LK6987</v>
      </c>
      <c r="C1245" t="s">
        <v>1209</v>
      </c>
    </row>
    <row r="1246" spans="1:3" x14ac:dyDescent="0.25">
      <c r="A1246" t="str">
        <f>"0611831473100"</f>
        <v>0611831473100</v>
      </c>
      <c r="B1246" t="str">
        <f>"LK5664"</f>
        <v>LK5664</v>
      </c>
      <c r="C1246" t="s">
        <v>1210</v>
      </c>
    </row>
    <row r="1247" spans="1:3" x14ac:dyDescent="0.25">
      <c r="A1247" t="str">
        <f>"0611831474100"</f>
        <v>0611831474100</v>
      </c>
      <c r="B1247" t="str">
        <f>"LB1174"</f>
        <v>LB1174</v>
      </c>
      <c r="C1247" t="s">
        <v>1212</v>
      </c>
    </row>
    <row r="1248" spans="1:3" x14ac:dyDescent="0.25">
      <c r="A1248" t="str">
        <f>"0611831475100"</f>
        <v>0611831475100</v>
      </c>
      <c r="B1248" t="str">
        <f>"LK5723"</f>
        <v>LK5723</v>
      </c>
      <c r="C1248" t="s">
        <v>1213</v>
      </c>
    </row>
    <row r="1249" spans="1:3" x14ac:dyDescent="0.25">
      <c r="A1249" t="str">
        <f>"0611831476100"</f>
        <v>0611831476100</v>
      </c>
      <c r="B1249" t="str">
        <f>"LK5436"</f>
        <v>LK5436</v>
      </c>
      <c r="C1249" t="s">
        <v>1214</v>
      </c>
    </row>
    <row r="1250" spans="1:3" x14ac:dyDescent="0.25">
      <c r="A1250" t="str">
        <f>"0611831478100"</f>
        <v>0611831478100</v>
      </c>
      <c r="B1250" t="str">
        <f>"LK2760"</f>
        <v>LK2760</v>
      </c>
      <c r="C1250" t="s">
        <v>1215</v>
      </c>
    </row>
    <row r="1251" spans="1:3" x14ac:dyDescent="0.25">
      <c r="A1251" t="str">
        <f>"0611831477100"</f>
        <v>0611831477100</v>
      </c>
      <c r="B1251" t="str">
        <f>"LK6897"</f>
        <v>LK6897</v>
      </c>
      <c r="C1251" t="s">
        <v>1216</v>
      </c>
    </row>
    <row r="1252" spans="1:3" x14ac:dyDescent="0.25">
      <c r="A1252" t="str">
        <f>"0611906662100"</f>
        <v>0611906662100</v>
      </c>
      <c r="B1252" t="str">
        <f>"LK7243"</f>
        <v>LK7243</v>
      </c>
      <c r="C1252" t="s">
        <v>1217</v>
      </c>
    </row>
    <row r="1253" spans="1:3" x14ac:dyDescent="0.25">
      <c r="A1253" t="str">
        <f>"0611831479100"</f>
        <v>0611831479100</v>
      </c>
      <c r="B1253" t="str">
        <f>"LK2761"</f>
        <v>LK2761</v>
      </c>
      <c r="C1253" t="s">
        <v>1218</v>
      </c>
    </row>
    <row r="1254" spans="1:3" x14ac:dyDescent="0.25">
      <c r="A1254" t="str">
        <f>"0611831480100"</f>
        <v>0611831480100</v>
      </c>
      <c r="B1254" t="str">
        <f>"LK2762"</f>
        <v>LK2762</v>
      </c>
      <c r="C1254" t="s">
        <v>1219</v>
      </c>
    </row>
    <row r="1255" spans="1:3" x14ac:dyDescent="0.25">
      <c r="A1255" t="str">
        <f>"0611831481100"</f>
        <v>0611831481100</v>
      </c>
      <c r="B1255" t="str">
        <f>"LK3297"</f>
        <v>LK3297</v>
      </c>
      <c r="C1255" t="s">
        <v>1220</v>
      </c>
    </row>
    <row r="1256" spans="1:3" x14ac:dyDescent="0.25">
      <c r="A1256" t="str">
        <f>"0611831482100"</f>
        <v>0611831482100</v>
      </c>
      <c r="B1256" t="str">
        <f>"LK0738"</f>
        <v>LK0738</v>
      </c>
      <c r="C1256" t="s">
        <v>1221</v>
      </c>
    </row>
    <row r="1257" spans="1:3" x14ac:dyDescent="0.25">
      <c r="A1257" t="str">
        <f>"0611831483100"</f>
        <v>0611831483100</v>
      </c>
      <c r="B1257" t="str">
        <f>"LK2763"</f>
        <v>LK2763</v>
      </c>
      <c r="C1257" t="s">
        <v>1222</v>
      </c>
    </row>
    <row r="1258" spans="1:3" x14ac:dyDescent="0.25">
      <c r="A1258" t="str">
        <f>"0611831484100"</f>
        <v>0611831484100</v>
      </c>
      <c r="B1258" t="str">
        <f>"LK2764"</f>
        <v>LK2764</v>
      </c>
      <c r="C1258" t="s">
        <v>1223</v>
      </c>
    </row>
    <row r="1259" spans="1:3" x14ac:dyDescent="0.25">
      <c r="A1259" t="str">
        <f>"0611831485100"</f>
        <v>0611831485100</v>
      </c>
      <c r="B1259" t="str">
        <f>"LK2765"</f>
        <v>LK2765</v>
      </c>
      <c r="C1259" t="s">
        <v>1224</v>
      </c>
    </row>
    <row r="1260" spans="1:3" x14ac:dyDescent="0.25">
      <c r="A1260" t="str">
        <f>"0611831486100"</f>
        <v>0611831486100</v>
      </c>
      <c r="B1260" t="str">
        <f>"LB1175"</f>
        <v>LB1175</v>
      </c>
      <c r="C1260" t="s">
        <v>1225</v>
      </c>
    </row>
    <row r="1261" spans="1:3" x14ac:dyDescent="0.25">
      <c r="A1261" t="str">
        <f>"0611831487100"</f>
        <v>0611831487100</v>
      </c>
      <c r="B1261" t="str">
        <f>"LB1176"</f>
        <v>LB1176</v>
      </c>
      <c r="C1261" t="s">
        <v>1227</v>
      </c>
    </row>
    <row r="1262" spans="1:3" x14ac:dyDescent="0.25">
      <c r="A1262" t="str">
        <f>"0611831488100"</f>
        <v>0611831488100</v>
      </c>
      <c r="B1262" t="str">
        <f>"LK5722"</f>
        <v>LK5722</v>
      </c>
      <c r="C1262" t="s">
        <v>1228</v>
      </c>
    </row>
    <row r="1263" spans="1:3" x14ac:dyDescent="0.25">
      <c r="A1263" t="str">
        <f>"0611831489100"</f>
        <v>0611831489100</v>
      </c>
      <c r="B1263" t="str">
        <f>"LB0913"</f>
        <v>LB0913</v>
      </c>
      <c r="C1263" t="s">
        <v>1229</v>
      </c>
    </row>
    <row r="1264" spans="1:3" x14ac:dyDescent="0.25">
      <c r="A1264" t="str">
        <f>"0611831490100"</f>
        <v>0611831490100</v>
      </c>
      <c r="B1264" t="str">
        <f>"LK6988"</f>
        <v>LK6988</v>
      </c>
      <c r="C1264" t="s">
        <v>1230</v>
      </c>
    </row>
    <row r="1265" spans="1:3" x14ac:dyDescent="0.25">
      <c r="A1265" t="str">
        <f>"0611831491100"</f>
        <v>0611831491100</v>
      </c>
      <c r="B1265" t="str">
        <f>"LB1177"</f>
        <v>LB1177</v>
      </c>
      <c r="C1265" t="s">
        <v>1231</v>
      </c>
    </row>
    <row r="1266" spans="1:3" x14ac:dyDescent="0.25">
      <c r="A1266" t="str">
        <f>"0611831492100"</f>
        <v>0611831492100</v>
      </c>
      <c r="B1266" t="str">
        <f>"LB1172"</f>
        <v>LB1172</v>
      </c>
      <c r="C1266" t="s">
        <v>1232</v>
      </c>
    </row>
    <row r="1267" spans="1:3" x14ac:dyDescent="0.25">
      <c r="A1267" t="str">
        <f>"0611831494100"</f>
        <v>0611831494100</v>
      </c>
      <c r="B1267" t="str">
        <f>"MB0830"</f>
        <v>MB0830</v>
      </c>
      <c r="C1267" t="s">
        <v>1233</v>
      </c>
    </row>
    <row r="1268" spans="1:3" x14ac:dyDescent="0.25">
      <c r="A1268" t="str">
        <f>"0611831495100"</f>
        <v>0611831495100</v>
      </c>
      <c r="B1268" t="str">
        <f>"LK3298"</f>
        <v>LK3298</v>
      </c>
      <c r="C1268" t="s">
        <v>1234</v>
      </c>
    </row>
    <row r="1269" spans="1:3" x14ac:dyDescent="0.25">
      <c r="A1269" t="str">
        <f>"0611831496100"</f>
        <v>0611831496100</v>
      </c>
      <c r="B1269" t="str">
        <f>"LK6896"</f>
        <v>LK6896</v>
      </c>
      <c r="C1269" t="s">
        <v>1235</v>
      </c>
    </row>
    <row r="1270" spans="1:3" x14ac:dyDescent="0.25">
      <c r="A1270" t="str">
        <f>"0611831497100"</f>
        <v>0611831497100</v>
      </c>
      <c r="B1270" t="str">
        <f>"LB1180"</f>
        <v>LB1180</v>
      </c>
      <c r="C1270" t="s">
        <v>1236</v>
      </c>
    </row>
    <row r="1271" spans="1:3" x14ac:dyDescent="0.25">
      <c r="A1271" t="str">
        <f>"0611831499100"</f>
        <v>0611831499100</v>
      </c>
      <c r="B1271" t="str">
        <f>"LB1179"</f>
        <v>LB1179</v>
      </c>
      <c r="C1271" t="s">
        <v>1237</v>
      </c>
    </row>
    <row r="1272" spans="1:3" x14ac:dyDescent="0.25">
      <c r="A1272" t="str">
        <f>"0611831498100"</f>
        <v>0611831498100</v>
      </c>
      <c r="B1272" t="str">
        <f>"LK4786"</f>
        <v>LK4786</v>
      </c>
      <c r="C1272" t="s">
        <v>1238</v>
      </c>
    </row>
    <row r="1273" spans="1:3" x14ac:dyDescent="0.25">
      <c r="A1273" t="str">
        <f>"0611831500100"</f>
        <v>0611831500100</v>
      </c>
      <c r="B1273" t="str">
        <f>"LQ3507"</f>
        <v>LQ3507</v>
      </c>
      <c r="C1273" t="s">
        <v>1239</v>
      </c>
    </row>
    <row r="1274" spans="1:3" x14ac:dyDescent="0.25">
      <c r="A1274" t="str">
        <f>"0611860646050"</f>
        <v>0611860646050</v>
      </c>
      <c r="B1274" t="str">
        <f>"CR2034"</f>
        <v>CR2034</v>
      </c>
      <c r="C1274" t="s">
        <v>1240</v>
      </c>
    </row>
    <row r="1275" spans="1:3" x14ac:dyDescent="0.25">
      <c r="A1275" t="str">
        <f>"0611831501100"</f>
        <v>0611831501100</v>
      </c>
      <c r="B1275" t="str">
        <f>"LK6564"</f>
        <v>LK6564</v>
      </c>
      <c r="C1275" t="s">
        <v>1241</v>
      </c>
    </row>
    <row r="1276" spans="1:3" x14ac:dyDescent="0.25">
      <c r="A1276" t="str">
        <f>"0611831502100"</f>
        <v>0611831502100</v>
      </c>
      <c r="B1276" t="str">
        <f>"LK6565"</f>
        <v>LK6565</v>
      </c>
      <c r="C1276" t="s">
        <v>1242</v>
      </c>
    </row>
    <row r="1277" spans="1:3" x14ac:dyDescent="0.25">
      <c r="A1277" t="str">
        <f>"0611831503100"</f>
        <v>0611831503100</v>
      </c>
      <c r="B1277" t="str">
        <f>"LK6566"</f>
        <v>LK6566</v>
      </c>
      <c r="C1277" t="s">
        <v>1243</v>
      </c>
    </row>
    <row r="1278" spans="1:3" x14ac:dyDescent="0.25">
      <c r="A1278" t="str">
        <f>"0611884046100"</f>
        <v>0611884046100</v>
      </c>
      <c r="B1278" t="str">
        <f>"LK7126"</f>
        <v>LK7126</v>
      </c>
      <c r="C1278" t="s">
        <v>1244</v>
      </c>
    </row>
    <row r="1279" spans="1:3" x14ac:dyDescent="0.25">
      <c r="A1279" t="str">
        <f>"0611831504100"</f>
        <v>0611831504100</v>
      </c>
      <c r="B1279" t="str">
        <f>"LK6567"</f>
        <v>LK6567</v>
      </c>
      <c r="C1279" t="s">
        <v>1245</v>
      </c>
    </row>
    <row r="1280" spans="1:3" x14ac:dyDescent="0.25">
      <c r="A1280" t="str">
        <f>"0611831505100"</f>
        <v>0611831505100</v>
      </c>
      <c r="B1280" t="str">
        <f>"LK6568"</f>
        <v>LK6568</v>
      </c>
      <c r="C1280" t="s">
        <v>1246</v>
      </c>
    </row>
    <row r="1281" spans="1:3" x14ac:dyDescent="0.25">
      <c r="A1281" t="str">
        <f>"0611884047100"</f>
        <v>0611884047100</v>
      </c>
      <c r="B1281" t="str">
        <f>"LK7127"</f>
        <v>LK7127</v>
      </c>
      <c r="C1281" t="s">
        <v>1247</v>
      </c>
    </row>
    <row r="1282" spans="1:3" x14ac:dyDescent="0.25">
      <c r="A1282" t="str">
        <f>"0611831506100"</f>
        <v>0611831506100</v>
      </c>
      <c r="B1282" t="str">
        <f>"LQ3670"</f>
        <v>LQ3670</v>
      </c>
      <c r="C1282" t="s">
        <v>1248</v>
      </c>
    </row>
    <row r="1283" spans="1:3" x14ac:dyDescent="0.25">
      <c r="A1283" t="str">
        <f>"0611831507100"</f>
        <v>0611831507100</v>
      </c>
      <c r="B1283" t="str">
        <f>"LQ3508"</f>
        <v>LQ3508</v>
      </c>
      <c r="C1283" t="s">
        <v>1249</v>
      </c>
    </row>
    <row r="1284" spans="1:3" x14ac:dyDescent="0.25">
      <c r="A1284" t="str">
        <f>"0611831508100"</f>
        <v>0611831508100</v>
      </c>
      <c r="B1284" t="str">
        <f>"LB1027"</f>
        <v>LB1027</v>
      </c>
      <c r="C1284" t="s">
        <v>1250</v>
      </c>
    </row>
    <row r="1285" spans="1:3" x14ac:dyDescent="0.25">
      <c r="A1285" t="str">
        <f>"0611831509100"</f>
        <v>0611831509100</v>
      </c>
      <c r="B1285" t="str">
        <f>"LK6598"</f>
        <v>LK6598</v>
      </c>
      <c r="C1285" t="s">
        <v>1251</v>
      </c>
    </row>
    <row r="1286" spans="1:3" x14ac:dyDescent="0.25">
      <c r="A1286" t="str">
        <f>"0611831511100"</f>
        <v>0611831511100</v>
      </c>
      <c r="B1286" t="str">
        <f>"LK6600"</f>
        <v>LK6600</v>
      </c>
      <c r="C1286" t="s">
        <v>1252</v>
      </c>
    </row>
    <row r="1287" spans="1:3" x14ac:dyDescent="0.25">
      <c r="A1287" t="str">
        <f>"0611831512100"</f>
        <v>0611831512100</v>
      </c>
      <c r="B1287" t="str">
        <f>"LK6601"</f>
        <v>LK6601</v>
      </c>
      <c r="C1287" t="s">
        <v>1253</v>
      </c>
    </row>
    <row r="1288" spans="1:3" x14ac:dyDescent="0.25">
      <c r="A1288" t="str">
        <f>"0611831513100"</f>
        <v>0611831513100</v>
      </c>
      <c r="B1288" t="str">
        <f>"LK6602"</f>
        <v>LK6602</v>
      </c>
      <c r="C1288" t="s">
        <v>1254</v>
      </c>
    </row>
    <row r="1289" spans="1:3" x14ac:dyDescent="0.25">
      <c r="A1289" t="str">
        <f>"0611831514100"</f>
        <v>0611831514100</v>
      </c>
      <c r="B1289" t="str">
        <f>"LK6603"</f>
        <v>LK6603</v>
      </c>
      <c r="C1289" t="s">
        <v>1255</v>
      </c>
    </row>
    <row r="1290" spans="1:3" x14ac:dyDescent="0.25">
      <c r="A1290" t="str">
        <f>"0611831515100"</f>
        <v>0611831515100</v>
      </c>
      <c r="B1290" t="str">
        <f>"LK6604"</f>
        <v>LK6604</v>
      </c>
      <c r="C1290" t="s">
        <v>1256</v>
      </c>
    </row>
    <row r="1291" spans="1:3" x14ac:dyDescent="0.25">
      <c r="A1291" t="str">
        <f>"0611831522100"</f>
        <v>0611831522100</v>
      </c>
      <c r="B1291" t="str">
        <f>"LS0008"</f>
        <v>LS0008</v>
      </c>
      <c r="C1291" t="s">
        <v>1258</v>
      </c>
    </row>
    <row r="1292" spans="1:3" x14ac:dyDescent="0.25">
      <c r="A1292" t="str">
        <f>"0611831518100"</f>
        <v>0611831518100</v>
      </c>
      <c r="B1292" t="str">
        <f>"LB1191"</f>
        <v>LB1191</v>
      </c>
      <c r="C1292" t="s">
        <v>1257</v>
      </c>
    </row>
    <row r="1293" spans="1:3" x14ac:dyDescent="0.25">
      <c r="A1293" t="str">
        <f>"0611831524100"</f>
        <v>0611831524100</v>
      </c>
      <c r="B1293" t="str">
        <f>"LB1005"</f>
        <v>LB1005</v>
      </c>
      <c r="C1293" t="s">
        <v>1259</v>
      </c>
    </row>
    <row r="1294" spans="1:3" x14ac:dyDescent="0.25">
      <c r="A1294" t="str">
        <f>"0611831525100"</f>
        <v>0611831525100</v>
      </c>
      <c r="B1294" t="str">
        <f>"LB1006"</f>
        <v>LB1006</v>
      </c>
      <c r="C1294" t="s">
        <v>1260</v>
      </c>
    </row>
    <row r="1295" spans="1:3" x14ac:dyDescent="0.25">
      <c r="A1295" t="str">
        <f>"0611831526100"</f>
        <v>0611831526100</v>
      </c>
      <c r="B1295" t="str">
        <f>"LB1007"</f>
        <v>LB1007</v>
      </c>
      <c r="C1295" t="s">
        <v>1261</v>
      </c>
    </row>
    <row r="1296" spans="1:3" x14ac:dyDescent="0.25">
      <c r="A1296" t="str">
        <f>"0611831527100"</f>
        <v>0611831527100</v>
      </c>
      <c r="B1296" t="str">
        <f>"LB1008"</f>
        <v>LB1008</v>
      </c>
      <c r="C1296" t="s">
        <v>1262</v>
      </c>
    </row>
    <row r="1297" spans="1:3" x14ac:dyDescent="0.25">
      <c r="A1297" t="str">
        <f>"0611831528100"</f>
        <v>0611831528100</v>
      </c>
      <c r="B1297" t="str">
        <f>"LB1009"</f>
        <v>LB1009</v>
      </c>
      <c r="C1297" t="s">
        <v>1263</v>
      </c>
    </row>
    <row r="1298" spans="1:3" x14ac:dyDescent="0.25">
      <c r="A1298" t="str">
        <f>"0611831539100"</f>
        <v>0611831539100</v>
      </c>
      <c r="B1298" t="str">
        <f>"LQ3638"</f>
        <v>LQ3638</v>
      </c>
      <c r="C1298" t="s">
        <v>1266</v>
      </c>
    </row>
    <row r="1299" spans="1:3" x14ac:dyDescent="0.25">
      <c r="A1299" t="str">
        <f>"0611831542100"</f>
        <v>0611831542100</v>
      </c>
      <c r="B1299" t="str">
        <f>"LS0009"</f>
        <v>LS0009</v>
      </c>
      <c r="C1299" t="s">
        <v>1265</v>
      </c>
    </row>
    <row r="1300" spans="1:3" x14ac:dyDescent="0.25">
      <c r="A1300" t="str">
        <f>"0611831541100"</f>
        <v>0611831541100</v>
      </c>
      <c r="B1300" t="str">
        <f>"LB1200"</f>
        <v>LB1200</v>
      </c>
      <c r="C1300" t="s">
        <v>1264</v>
      </c>
    </row>
    <row r="1301" spans="1:3" x14ac:dyDescent="0.25">
      <c r="A1301" t="str">
        <f>"0611831544100"</f>
        <v>0611831544100</v>
      </c>
      <c r="B1301" t="str">
        <f>"LQ3639"</f>
        <v>LQ3639</v>
      </c>
      <c r="C1301" t="s">
        <v>1267</v>
      </c>
    </row>
    <row r="1302" spans="1:3" x14ac:dyDescent="0.25">
      <c r="A1302" t="str">
        <f>"0611831545100"</f>
        <v>0611831545100</v>
      </c>
      <c r="B1302" t="str">
        <f>"LQ3672"</f>
        <v>LQ3672</v>
      </c>
      <c r="C1302" t="s">
        <v>1268</v>
      </c>
    </row>
    <row r="1303" spans="1:3" x14ac:dyDescent="0.25">
      <c r="A1303" t="str">
        <f>"0611831546100"</f>
        <v>0611831546100</v>
      </c>
      <c r="B1303" t="str">
        <f>"LQ3640"</f>
        <v>LQ3640</v>
      </c>
      <c r="C1303" t="s">
        <v>1269</v>
      </c>
    </row>
    <row r="1304" spans="1:3" x14ac:dyDescent="0.25">
      <c r="A1304" t="str">
        <f>"0611831547100"</f>
        <v>0611831547100</v>
      </c>
      <c r="B1304" t="str">
        <f>"LF0833"</f>
        <v>LF0833</v>
      </c>
      <c r="C1304" t="s">
        <v>1270</v>
      </c>
    </row>
    <row r="1305" spans="1:3" x14ac:dyDescent="0.25">
      <c r="A1305" t="str">
        <f>"0611831549100"</f>
        <v>0611831549100</v>
      </c>
      <c r="B1305" t="str">
        <f>"LQ3792"</f>
        <v>LQ3792</v>
      </c>
      <c r="C1305" t="s">
        <v>1271</v>
      </c>
    </row>
    <row r="1306" spans="1:3" x14ac:dyDescent="0.25">
      <c r="A1306" t="str">
        <f>"0611831550100"</f>
        <v>0611831550100</v>
      </c>
      <c r="B1306" t="str">
        <f>"LB1030"</f>
        <v>LB1030</v>
      </c>
      <c r="C1306" t="s">
        <v>1272</v>
      </c>
    </row>
    <row r="1307" spans="1:3" x14ac:dyDescent="0.25">
      <c r="A1307" t="str">
        <f>"0611831551100"</f>
        <v>0611831551100</v>
      </c>
      <c r="B1307" t="str">
        <f>"LQ3374"</f>
        <v>LQ3374</v>
      </c>
      <c r="C1307" t="s">
        <v>1273</v>
      </c>
    </row>
    <row r="1308" spans="1:3" x14ac:dyDescent="0.25">
      <c r="A1308" t="str">
        <f>"0611860647050"</f>
        <v>0611860647050</v>
      </c>
      <c r="B1308" t="str">
        <f>"CR3478"</f>
        <v>CR3478</v>
      </c>
      <c r="C1308" t="s">
        <v>1274</v>
      </c>
    </row>
    <row r="1309" spans="1:3" x14ac:dyDescent="0.25">
      <c r="A1309" t="str">
        <f>"0611831558100"</f>
        <v>0611831558100</v>
      </c>
      <c r="B1309" t="str">
        <f>"LQ3682"</f>
        <v>LQ3682</v>
      </c>
      <c r="C1309" t="s">
        <v>13775</v>
      </c>
    </row>
    <row r="1310" spans="1:3" x14ac:dyDescent="0.25">
      <c r="A1310" t="str">
        <f>"0611884048100"</f>
        <v>0611884048100</v>
      </c>
      <c r="B1310" t="str">
        <f>"LQ0972"</f>
        <v>LQ0972</v>
      </c>
      <c r="C1310" t="s">
        <v>1275</v>
      </c>
    </row>
    <row r="1311" spans="1:3" x14ac:dyDescent="0.25">
      <c r="A1311" t="str">
        <f>"0611831563100"</f>
        <v>0611831563100</v>
      </c>
      <c r="B1311" t="str">
        <f>"LQ3641"</f>
        <v>LQ3641</v>
      </c>
      <c r="C1311" t="s">
        <v>1276</v>
      </c>
    </row>
    <row r="1312" spans="1:3" x14ac:dyDescent="0.25">
      <c r="A1312" t="str">
        <f>"0611831564100"</f>
        <v>0611831564100</v>
      </c>
      <c r="B1312" t="str">
        <f>"LQ3642"</f>
        <v>LQ3642</v>
      </c>
      <c r="C1312" t="s">
        <v>1277</v>
      </c>
    </row>
    <row r="1313" spans="1:3" x14ac:dyDescent="0.25">
      <c r="A1313" t="str">
        <f>"0611831222100"</f>
        <v>0611831222100</v>
      </c>
      <c r="B1313" t="str">
        <f>"LK6608"</f>
        <v>LK6608</v>
      </c>
      <c r="C1313" t="s">
        <v>1278</v>
      </c>
    </row>
    <row r="1314" spans="1:3" x14ac:dyDescent="0.25">
      <c r="A1314" t="str">
        <f>"0611831568100"</f>
        <v>0611831568100</v>
      </c>
      <c r="B1314" t="str">
        <f>"LK6611"</f>
        <v>LK6611</v>
      </c>
      <c r="C1314" t="s">
        <v>1279</v>
      </c>
    </row>
    <row r="1315" spans="1:3" x14ac:dyDescent="0.25">
      <c r="A1315" t="str">
        <f>"0611831569100"</f>
        <v>0611831569100</v>
      </c>
      <c r="B1315" t="str">
        <f>"LK6614"</f>
        <v>LK6614</v>
      </c>
      <c r="C1315" t="s">
        <v>1280</v>
      </c>
    </row>
    <row r="1316" spans="1:3" x14ac:dyDescent="0.25">
      <c r="A1316" t="str">
        <f>"0611831570100"</f>
        <v>0611831570100</v>
      </c>
      <c r="B1316" t="str">
        <f>"LK6615"</f>
        <v>LK6615</v>
      </c>
      <c r="C1316" t="s">
        <v>1281</v>
      </c>
    </row>
    <row r="1317" spans="1:3" x14ac:dyDescent="0.25">
      <c r="A1317" t="str">
        <f>"0611831572100"</f>
        <v>0611831572100</v>
      </c>
      <c r="B1317" t="str">
        <f>"LK6617"</f>
        <v>LK6617</v>
      </c>
      <c r="C1317" t="s">
        <v>1282</v>
      </c>
    </row>
    <row r="1318" spans="1:3" x14ac:dyDescent="0.25">
      <c r="A1318" t="str">
        <f>"0611831573100"</f>
        <v>0611831573100</v>
      </c>
      <c r="B1318" t="str">
        <f>"LK6619"</f>
        <v>LK6619</v>
      </c>
      <c r="C1318" t="s">
        <v>1283</v>
      </c>
    </row>
    <row r="1319" spans="1:3" x14ac:dyDescent="0.25">
      <c r="A1319" t="str">
        <f>"0611831575100"</f>
        <v>0611831575100</v>
      </c>
      <c r="B1319" t="str">
        <f>"LK6621"</f>
        <v>LK6621</v>
      </c>
      <c r="C1319" t="s">
        <v>1284</v>
      </c>
    </row>
    <row r="1320" spans="1:3" x14ac:dyDescent="0.25">
      <c r="A1320" t="str">
        <f>"0611831576100"</f>
        <v>0611831576100</v>
      </c>
      <c r="B1320" t="str">
        <f>"LB1208"</f>
        <v>LB1208</v>
      </c>
      <c r="C1320" t="s">
        <v>1285</v>
      </c>
    </row>
    <row r="1321" spans="1:3" x14ac:dyDescent="0.25">
      <c r="A1321" t="str">
        <f>"0611831578100"</f>
        <v>0611831578100</v>
      </c>
      <c r="B1321" t="str">
        <f>"LK5715"</f>
        <v>LK5715</v>
      </c>
      <c r="C1321" t="s">
        <v>1286</v>
      </c>
    </row>
    <row r="1322" spans="1:3" x14ac:dyDescent="0.25">
      <c r="A1322" t="str">
        <f>"0611831579100"</f>
        <v>0611831579100</v>
      </c>
      <c r="B1322" t="str">
        <f>"LQ3674"</f>
        <v>LQ3674</v>
      </c>
      <c r="C1322" t="s">
        <v>1287</v>
      </c>
    </row>
    <row r="1323" spans="1:3" x14ac:dyDescent="0.25">
      <c r="A1323" t="str">
        <f>"0611831580100"</f>
        <v>0611831580100</v>
      </c>
      <c r="B1323" t="str">
        <f>"LK6021"</f>
        <v>LK6021</v>
      </c>
      <c r="C1323" t="s">
        <v>1288</v>
      </c>
    </row>
    <row r="1324" spans="1:3" x14ac:dyDescent="0.25">
      <c r="A1324" t="str">
        <f>"0611831581100"</f>
        <v>0611831581100</v>
      </c>
      <c r="B1324" t="str">
        <f>"LK4952"</f>
        <v>LK4952</v>
      </c>
      <c r="C1324" t="s">
        <v>1289</v>
      </c>
    </row>
    <row r="1325" spans="1:3" x14ac:dyDescent="0.25">
      <c r="A1325" t="str">
        <f>"0611860648050"</f>
        <v>0611860648050</v>
      </c>
      <c r="B1325" t="str">
        <f>"CR4100"</f>
        <v>CR4100</v>
      </c>
      <c r="C1325" t="s">
        <v>1290</v>
      </c>
    </row>
    <row r="1326" spans="1:3" x14ac:dyDescent="0.25">
      <c r="A1326" t="str">
        <f>"0611860649050"</f>
        <v>0611860649050</v>
      </c>
      <c r="B1326" t="str">
        <f>"CR4101"</f>
        <v>CR4101</v>
      </c>
      <c r="C1326" t="s">
        <v>1291</v>
      </c>
    </row>
    <row r="1327" spans="1:3" x14ac:dyDescent="0.25">
      <c r="A1327" t="str">
        <f>"0611831582100"</f>
        <v>0611831582100</v>
      </c>
      <c r="B1327" t="str">
        <f>"LB0935"</f>
        <v>LB0935</v>
      </c>
      <c r="C1327" t="s">
        <v>1292</v>
      </c>
    </row>
    <row r="1328" spans="1:3" x14ac:dyDescent="0.25">
      <c r="A1328" t="str">
        <f>"0611831583100"</f>
        <v>0611831583100</v>
      </c>
      <c r="B1328" t="str">
        <f>"LK6362"</f>
        <v>LK6362</v>
      </c>
      <c r="C1328" t="s">
        <v>1293</v>
      </c>
    </row>
    <row r="1329" spans="1:3" x14ac:dyDescent="0.25">
      <c r="A1329" t="str">
        <f>"0611831584100"</f>
        <v>0611831584100</v>
      </c>
      <c r="B1329" t="str">
        <f>"LK6892"</f>
        <v>LK6892</v>
      </c>
      <c r="C1329" t="s">
        <v>1294</v>
      </c>
    </row>
    <row r="1330" spans="1:3" x14ac:dyDescent="0.25">
      <c r="A1330" t="str">
        <f>"0611831585100"</f>
        <v>0611831585100</v>
      </c>
      <c r="B1330" t="str">
        <f>"LK6363"</f>
        <v>LK6363</v>
      </c>
      <c r="C1330" t="s">
        <v>1295</v>
      </c>
    </row>
    <row r="1331" spans="1:3" x14ac:dyDescent="0.25">
      <c r="A1331" t="str">
        <f>"0611831586100"</f>
        <v>0611831586100</v>
      </c>
      <c r="B1331" t="str">
        <f>"LK6364"</f>
        <v>LK6364</v>
      </c>
      <c r="C1331" t="s">
        <v>1296</v>
      </c>
    </row>
    <row r="1332" spans="1:3" x14ac:dyDescent="0.25">
      <c r="A1332" t="str">
        <f>"0611831587100"</f>
        <v>0611831587100</v>
      </c>
      <c r="B1332" t="str">
        <f>"LK6365"</f>
        <v>LK6365</v>
      </c>
      <c r="C1332" t="s">
        <v>1297</v>
      </c>
    </row>
    <row r="1333" spans="1:3" x14ac:dyDescent="0.25">
      <c r="A1333" t="str">
        <f>"0611831588100"</f>
        <v>0611831588100</v>
      </c>
      <c r="B1333" t="str">
        <f>"LK6366"</f>
        <v>LK6366</v>
      </c>
      <c r="C1333" t="s">
        <v>1298</v>
      </c>
    </row>
    <row r="1334" spans="1:3" x14ac:dyDescent="0.25">
      <c r="A1334" t="str">
        <f>"0611831589100"</f>
        <v>0611831589100</v>
      </c>
      <c r="B1334" t="str">
        <f>"LK6367"</f>
        <v>LK6367</v>
      </c>
      <c r="C1334" t="s">
        <v>1299</v>
      </c>
    </row>
    <row r="1335" spans="1:3" x14ac:dyDescent="0.25">
      <c r="A1335" t="str">
        <f>"0611831590100"</f>
        <v>0611831590100</v>
      </c>
      <c r="B1335" t="str">
        <f>"LB0818"</f>
        <v>LB0818</v>
      </c>
      <c r="C1335" t="s">
        <v>1300</v>
      </c>
    </row>
    <row r="1336" spans="1:3" x14ac:dyDescent="0.25">
      <c r="A1336" t="str">
        <f>"0611831591100"</f>
        <v>0611831591100</v>
      </c>
      <c r="B1336" t="str">
        <f>"LB0910"</f>
        <v>LB0910</v>
      </c>
      <c r="C1336" t="s">
        <v>1301</v>
      </c>
    </row>
    <row r="1337" spans="1:3" x14ac:dyDescent="0.25">
      <c r="A1337" t="str">
        <f>"0611831592100"</f>
        <v>0611831592100</v>
      </c>
      <c r="B1337" t="str">
        <f>"LB0978"</f>
        <v>LB0978</v>
      </c>
      <c r="C1337" t="s">
        <v>1302</v>
      </c>
    </row>
    <row r="1338" spans="1:3" x14ac:dyDescent="0.25">
      <c r="A1338" t="str">
        <f>"0611831593100"</f>
        <v>0611831593100</v>
      </c>
      <c r="B1338" t="str">
        <f>"LB0911"</f>
        <v>LB0911</v>
      </c>
      <c r="C1338" t="s">
        <v>1303</v>
      </c>
    </row>
    <row r="1339" spans="1:3" x14ac:dyDescent="0.25">
      <c r="A1339" t="str">
        <f>"0611831594100"</f>
        <v>0611831594100</v>
      </c>
      <c r="B1339" t="str">
        <f>"LB0979"</f>
        <v>LB0979</v>
      </c>
      <c r="C1339" t="s">
        <v>1304</v>
      </c>
    </row>
    <row r="1340" spans="1:3" x14ac:dyDescent="0.25">
      <c r="A1340" t="str">
        <f>"0611884049100"</f>
        <v>0611884049100</v>
      </c>
      <c r="B1340" t="str">
        <f>"LQ3906"</f>
        <v>LQ3906</v>
      </c>
      <c r="C1340" t="s">
        <v>1305</v>
      </c>
    </row>
    <row r="1341" spans="1:3" x14ac:dyDescent="0.25">
      <c r="A1341" t="str">
        <f>"0611860650050"</f>
        <v>0611860650050</v>
      </c>
      <c r="B1341" t="str">
        <f>"CR2036"</f>
        <v>CR2036</v>
      </c>
      <c r="C1341" t="s">
        <v>1306</v>
      </c>
    </row>
    <row r="1342" spans="1:3" x14ac:dyDescent="0.25">
      <c r="A1342" t="str">
        <f>"0611860651050"</f>
        <v>0611860651050</v>
      </c>
      <c r="B1342" t="str">
        <f>"CR2037"</f>
        <v>CR2037</v>
      </c>
      <c r="C1342" t="s">
        <v>1307</v>
      </c>
    </row>
    <row r="1343" spans="1:3" x14ac:dyDescent="0.25">
      <c r="A1343" t="str">
        <f>"0611831605100"</f>
        <v>0611831605100</v>
      </c>
      <c r="B1343" t="str">
        <f>"LQ3675"</f>
        <v>LQ3675</v>
      </c>
      <c r="C1343" t="s">
        <v>1308</v>
      </c>
    </row>
    <row r="1344" spans="1:3" x14ac:dyDescent="0.25">
      <c r="A1344" t="str">
        <f>"0611831606100"</f>
        <v>0611831606100</v>
      </c>
      <c r="B1344" t="str">
        <f>"LQ3676"</f>
        <v>LQ3676</v>
      </c>
      <c r="C1344" t="s">
        <v>13776</v>
      </c>
    </row>
    <row r="1345" spans="1:3" x14ac:dyDescent="0.25">
      <c r="A1345" t="str">
        <f>"0611860652050"</f>
        <v>0611860652050</v>
      </c>
      <c r="B1345" t="str">
        <f>"CR2038"</f>
        <v>CR2038</v>
      </c>
      <c r="C1345" t="s">
        <v>1309</v>
      </c>
    </row>
    <row r="1346" spans="1:3" x14ac:dyDescent="0.25">
      <c r="A1346" t="str">
        <f>"0611860653050"</f>
        <v>0611860653050</v>
      </c>
      <c r="B1346" t="str">
        <f>"CR4102"</f>
        <v>CR4102</v>
      </c>
      <c r="C1346" t="s">
        <v>1310</v>
      </c>
    </row>
    <row r="1347" spans="1:3" x14ac:dyDescent="0.25">
      <c r="A1347" t="str">
        <f>"0611860654050"</f>
        <v>0611860654050</v>
      </c>
      <c r="B1347" t="str">
        <f>"CR2039"</f>
        <v>CR2039</v>
      </c>
      <c r="C1347" t="s">
        <v>1311</v>
      </c>
    </row>
    <row r="1348" spans="1:3" x14ac:dyDescent="0.25">
      <c r="A1348" t="str">
        <f>"0611860655050"</f>
        <v>0611860655050</v>
      </c>
      <c r="B1348" t="str">
        <f>"CR2040"</f>
        <v>CR2040</v>
      </c>
      <c r="C1348" t="s">
        <v>1312</v>
      </c>
    </row>
    <row r="1349" spans="1:3" x14ac:dyDescent="0.25">
      <c r="A1349" t="str">
        <f>"0611860656050"</f>
        <v>0611860656050</v>
      </c>
      <c r="B1349" t="str">
        <f>"CR2041"</f>
        <v>CR2041</v>
      </c>
      <c r="C1349" t="s">
        <v>1313</v>
      </c>
    </row>
    <row r="1350" spans="1:3" x14ac:dyDescent="0.25">
      <c r="A1350" t="str">
        <f>"0611860657050"</f>
        <v>0611860657050</v>
      </c>
      <c r="B1350" t="str">
        <f>"CR2042"</f>
        <v>CR2042</v>
      </c>
      <c r="C1350" t="s">
        <v>1314</v>
      </c>
    </row>
    <row r="1351" spans="1:3" x14ac:dyDescent="0.25">
      <c r="A1351" t="str">
        <f>"0611860658050"</f>
        <v>0611860658050</v>
      </c>
      <c r="B1351" t="str">
        <f>"CR2043"</f>
        <v>CR2043</v>
      </c>
      <c r="C1351" t="s">
        <v>1316</v>
      </c>
    </row>
    <row r="1352" spans="1:3" x14ac:dyDescent="0.25">
      <c r="A1352" t="str">
        <f>"0611831607100"</f>
        <v>0611831607100</v>
      </c>
      <c r="B1352" t="str">
        <f>"LQ3677"</f>
        <v>LQ3677</v>
      </c>
      <c r="C1352" t="s">
        <v>1315</v>
      </c>
    </row>
    <row r="1353" spans="1:3" x14ac:dyDescent="0.25">
      <c r="A1353" t="str">
        <f>"0611860659050"</f>
        <v>0611860659050</v>
      </c>
      <c r="B1353" t="str">
        <f>"CR4103"</f>
        <v>CR4103</v>
      </c>
      <c r="C1353" t="s">
        <v>1317</v>
      </c>
    </row>
    <row r="1354" spans="1:3" x14ac:dyDescent="0.25">
      <c r="A1354" t="str">
        <f>"0611860660050"</f>
        <v>0611860660050</v>
      </c>
      <c r="B1354" t="str">
        <f>"CR2045"</f>
        <v>CR2045</v>
      </c>
      <c r="C1354" t="s">
        <v>1318</v>
      </c>
    </row>
    <row r="1355" spans="1:3" x14ac:dyDescent="0.25">
      <c r="A1355" t="str">
        <f>"0611860661050"</f>
        <v>0611860661050</v>
      </c>
      <c r="B1355" t="str">
        <f>"CR2044"</f>
        <v>CR2044</v>
      </c>
      <c r="C1355" t="s">
        <v>1319</v>
      </c>
    </row>
    <row r="1356" spans="1:3" x14ac:dyDescent="0.25">
      <c r="A1356" t="str">
        <f>"0611831608100"</f>
        <v>0611831608100</v>
      </c>
      <c r="B1356" t="str">
        <f>"LQ3678"</f>
        <v>LQ3678</v>
      </c>
      <c r="C1356" t="s">
        <v>1320</v>
      </c>
    </row>
    <row r="1357" spans="1:3" x14ac:dyDescent="0.25">
      <c r="A1357" t="str">
        <f>"0611831609100"</f>
        <v>0611831609100</v>
      </c>
      <c r="B1357" t="str">
        <f>"LQ3679"</f>
        <v>LQ3679</v>
      </c>
      <c r="C1357" t="s">
        <v>1321</v>
      </c>
    </row>
    <row r="1358" spans="1:3" x14ac:dyDescent="0.25">
      <c r="A1358" t="str">
        <f>"0611831612100"</f>
        <v>0611831612100</v>
      </c>
      <c r="B1358" t="str">
        <f>"LK2753"</f>
        <v>LK2753</v>
      </c>
      <c r="C1358" t="s">
        <v>1322</v>
      </c>
    </row>
    <row r="1359" spans="1:3" x14ac:dyDescent="0.25">
      <c r="A1359" t="str">
        <f>"0611831615100"</f>
        <v>0611831615100</v>
      </c>
      <c r="B1359" t="str">
        <f>"LK6368"</f>
        <v>LK6368</v>
      </c>
      <c r="C1359" t="s">
        <v>1323</v>
      </c>
    </row>
    <row r="1360" spans="1:3" x14ac:dyDescent="0.25">
      <c r="A1360" t="str">
        <f>"0611831616100"</f>
        <v>0611831616100</v>
      </c>
      <c r="B1360" t="str">
        <f>"LK6027"</f>
        <v>LK6027</v>
      </c>
      <c r="C1360" t="s">
        <v>1324</v>
      </c>
    </row>
    <row r="1361" spans="1:3" x14ac:dyDescent="0.25">
      <c r="A1361" t="str">
        <f>"0611831617100"</f>
        <v>0611831617100</v>
      </c>
      <c r="B1361" t="str">
        <f>"LK6028"</f>
        <v>LK6028</v>
      </c>
      <c r="C1361" t="s">
        <v>1325</v>
      </c>
    </row>
    <row r="1362" spans="1:3" x14ac:dyDescent="0.25">
      <c r="A1362" t="str">
        <f>"0611831619100"</f>
        <v>0611831619100</v>
      </c>
      <c r="B1362" t="str">
        <f>"LK6029"</f>
        <v>LK6029</v>
      </c>
      <c r="C1362" t="s">
        <v>1326</v>
      </c>
    </row>
    <row r="1363" spans="1:3" x14ac:dyDescent="0.25">
      <c r="A1363" t="str">
        <f>"0611831620100"</f>
        <v>0611831620100</v>
      </c>
      <c r="B1363" t="str">
        <f>"LK6030"</f>
        <v>LK6030</v>
      </c>
      <c r="C1363" t="s">
        <v>1327</v>
      </c>
    </row>
    <row r="1364" spans="1:3" x14ac:dyDescent="0.25">
      <c r="A1364" t="str">
        <f>"0611831621100"</f>
        <v>0611831621100</v>
      </c>
      <c r="B1364" t="str">
        <f>"LK6031"</f>
        <v>LK6031</v>
      </c>
      <c r="C1364" t="s">
        <v>1328</v>
      </c>
    </row>
    <row r="1365" spans="1:3" x14ac:dyDescent="0.25">
      <c r="A1365" t="str">
        <f>"0611831622100"</f>
        <v>0611831622100</v>
      </c>
      <c r="B1365" t="str">
        <f>"LK6032"</f>
        <v>LK6032</v>
      </c>
      <c r="C1365" t="s">
        <v>1329</v>
      </c>
    </row>
    <row r="1366" spans="1:3" x14ac:dyDescent="0.25">
      <c r="A1366" t="str">
        <f>"0611884050100"</f>
        <v>0611884050100</v>
      </c>
      <c r="B1366" t="str">
        <f>"LK7157"</f>
        <v>LK7157</v>
      </c>
      <c r="C1366" t="s">
        <v>1330</v>
      </c>
    </row>
    <row r="1367" spans="1:3" x14ac:dyDescent="0.25">
      <c r="A1367" t="str">
        <f>"0611884051100"</f>
        <v>0611884051100</v>
      </c>
      <c r="B1367" t="str">
        <f>"LK7158"</f>
        <v>LK7158</v>
      </c>
      <c r="C1367" t="s">
        <v>1331</v>
      </c>
    </row>
    <row r="1368" spans="1:3" x14ac:dyDescent="0.25">
      <c r="A1368" t="str">
        <f>"0611831636100"</f>
        <v>0611831636100</v>
      </c>
      <c r="B1368" t="str">
        <f>"LQ3785"</f>
        <v>LQ3785</v>
      </c>
      <c r="C1368" t="s">
        <v>1332</v>
      </c>
    </row>
    <row r="1369" spans="1:3" x14ac:dyDescent="0.25">
      <c r="A1369" t="str">
        <f>"0611831638100"</f>
        <v>0611831638100</v>
      </c>
      <c r="B1369" t="str">
        <f>"LK6888"</f>
        <v>LK6888</v>
      </c>
      <c r="C1369" t="s">
        <v>1333</v>
      </c>
    </row>
    <row r="1370" spans="1:3" x14ac:dyDescent="0.25">
      <c r="A1370" t="str">
        <f>"0611831640100"</f>
        <v>0611831640100</v>
      </c>
      <c r="B1370" t="str">
        <f>"LK6622"</f>
        <v>LK6622</v>
      </c>
      <c r="C1370" t="s">
        <v>1334</v>
      </c>
    </row>
    <row r="1371" spans="1:3" x14ac:dyDescent="0.25">
      <c r="A1371" t="str">
        <f>"0611831641100"</f>
        <v>0611831641100</v>
      </c>
      <c r="B1371" t="str">
        <f>"LK6623"</f>
        <v>LK6623</v>
      </c>
      <c r="C1371" t="s">
        <v>1335</v>
      </c>
    </row>
    <row r="1372" spans="1:3" x14ac:dyDescent="0.25">
      <c r="A1372" t="str">
        <f>"0611831642100"</f>
        <v>0611831642100</v>
      </c>
      <c r="B1372" t="str">
        <f>"LK6624"</f>
        <v>LK6624</v>
      </c>
      <c r="C1372" t="s">
        <v>1336</v>
      </c>
    </row>
    <row r="1373" spans="1:3" x14ac:dyDescent="0.25">
      <c r="A1373" t="str">
        <f>"0611831643100"</f>
        <v>0611831643100</v>
      </c>
      <c r="B1373" t="str">
        <f>"LK6625"</f>
        <v>LK6625</v>
      </c>
      <c r="C1373" t="s">
        <v>1337</v>
      </c>
    </row>
    <row r="1374" spans="1:3" x14ac:dyDescent="0.25">
      <c r="A1374" t="str">
        <f>"0611831644100"</f>
        <v>0611831644100</v>
      </c>
      <c r="B1374" t="str">
        <f>"LK6626"</f>
        <v>LK6626</v>
      </c>
      <c r="C1374" t="s">
        <v>1338</v>
      </c>
    </row>
    <row r="1375" spans="1:3" x14ac:dyDescent="0.25">
      <c r="A1375" t="str">
        <f>"0611831639100"</f>
        <v>0611831639100</v>
      </c>
      <c r="B1375" t="str">
        <f>"LK6628"</f>
        <v>LK6628</v>
      </c>
      <c r="C1375" t="s">
        <v>1339</v>
      </c>
    </row>
    <row r="1376" spans="1:3" x14ac:dyDescent="0.25">
      <c r="A1376" t="str">
        <f>"0611831646100"</f>
        <v>0611831646100</v>
      </c>
      <c r="B1376" t="str">
        <f>"LK6629"</f>
        <v>LK6629</v>
      </c>
      <c r="C1376" t="s">
        <v>1340</v>
      </c>
    </row>
    <row r="1377" spans="1:3" x14ac:dyDescent="0.25">
      <c r="A1377" t="str">
        <f>"0611831604100"</f>
        <v>0611831604100</v>
      </c>
      <c r="B1377" t="str">
        <f>"LK6630"</f>
        <v>LK6630</v>
      </c>
      <c r="C1377" t="s">
        <v>1341</v>
      </c>
    </row>
    <row r="1378" spans="1:3" x14ac:dyDescent="0.25">
      <c r="A1378" t="str">
        <f>"0611831647100"</f>
        <v>0611831647100</v>
      </c>
      <c r="B1378" t="str">
        <f>"LK6814"</f>
        <v>LK6814</v>
      </c>
      <c r="C1378" t="s">
        <v>1342</v>
      </c>
    </row>
    <row r="1379" spans="1:3" x14ac:dyDescent="0.25">
      <c r="A1379" t="str">
        <f>"0611884052100"</f>
        <v>0611884052100</v>
      </c>
      <c r="B1379" t="str">
        <f>"LK7159"</f>
        <v>LK7159</v>
      </c>
      <c r="C1379" t="s">
        <v>1343</v>
      </c>
    </row>
    <row r="1380" spans="1:3" x14ac:dyDescent="0.25">
      <c r="A1380" t="str">
        <f>"0611831648100"</f>
        <v>0611831648100</v>
      </c>
      <c r="B1380" t="str">
        <f>"LK6815"</f>
        <v>LK6815</v>
      </c>
      <c r="C1380" t="s">
        <v>1344</v>
      </c>
    </row>
    <row r="1381" spans="1:3" x14ac:dyDescent="0.25">
      <c r="A1381" t="str">
        <f>"0611831649100"</f>
        <v>0611831649100</v>
      </c>
      <c r="B1381" t="str">
        <f>"LK6816"</f>
        <v>LK6816</v>
      </c>
      <c r="C1381" t="s">
        <v>1345</v>
      </c>
    </row>
    <row r="1382" spans="1:3" x14ac:dyDescent="0.25">
      <c r="A1382" t="str">
        <f>"0611831650100"</f>
        <v>0611831650100</v>
      </c>
      <c r="B1382" t="str">
        <f>"LK6817"</f>
        <v>LK6817</v>
      </c>
      <c r="C1382" t="s">
        <v>1346</v>
      </c>
    </row>
    <row r="1383" spans="1:3" x14ac:dyDescent="0.25">
      <c r="A1383" t="str">
        <f>"0611831651100"</f>
        <v>0611831651100</v>
      </c>
      <c r="B1383" t="str">
        <f>"LK6818"</f>
        <v>LK6818</v>
      </c>
      <c r="C1383" t="s">
        <v>1347</v>
      </c>
    </row>
    <row r="1384" spans="1:3" x14ac:dyDescent="0.25">
      <c r="A1384" t="str">
        <f>"0611831652100"</f>
        <v>0611831652100</v>
      </c>
      <c r="B1384" t="str">
        <f>"LK4268"</f>
        <v>LK4268</v>
      </c>
      <c r="C1384" t="s">
        <v>1348</v>
      </c>
    </row>
    <row r="1385" spans="1:3" x14ac:dyDescent="0.25">
      <c r="A1385" t="str">
        <f>"0611831653100"</f>
        <v>0611831653100</v>
      </c>
      <c r="B1385" t="str">
        <f>"LB0805"</f>
        <v>LB0805</v>
      </c>
      <c r="C1385" t="s">
        <v>1349</v>
      </c>
    </row>
    <row r="1386" spans="1:3" x14ac:dyDescent="0.25">
      <c r="A1386" t="str">
        <f>"0611831654100"</f>
        <v>0611831654100</v>
      </c>
      <c r="B1386" t="str">
        <f>"LB0806"</f>
        <v>LB0806</v>
      </c>
      <c r="C1386" t="s">
        <v>1350</v>
      </c>
    </row>
    <row r="1387" spans="1:3" x14ac:dyDescent="0.25">
      <c r="A1387" t="str">
        <f>"0611831655100"</f>
        <v>0611831655100</v>
      </c>
      <c r="B1387" t="str">
        <f>"LB0807"</f>
        <v>LB0807</v>
      </c>
      <c r="C1387" t="s">
        <v>1351</v>
      </c>
    </row>
    <row r="1388" spans="1:3" x14ac:dyDescent="0.25">
      <c r="A1388" t="str">
        <f>"0611831656100"</f>
        <v>0611831656100</v>
      </c>
      <c r="B1388" t="str">
        <f>"LB0808"</f>
        <v>LB0808</v>
      </c>
      <c r="C1388" t="s">
        <v>1352</v>
      </c>
    </row>
    <row r="1389" spans="1:3" x14ac:dyDescent="0.25">
      <c r="A1389" t="str">
        <f>"0611831657100"</f>
        <v>0611831657100</v>
      </c>
      <c r="B1389" t="str">
        <f>"LB0906"</f>
        <v>LB0906</v>
      </c>
      <c r="C1389" t="s">
        <v>1353</v>
      </c>
    </row>
    <row r="1390" spans="1:3" x14ac:dyDescent="0.25">
      <c r="A1390" t="str">
        <f>"0611831658100"</f>
        <v>0611831658100</v>
      </c>
      <c r="B1390" t="str">
        <f>"LK2061"</f>
        <v>LK2061</v>
      </c>
      <c r="C1390" t="s">
        <v>1354</v>
      </c>
    </row>
    <row r="1391" spans="1:3" x14ac:dyDescent="0.25">
      <c r="A1391" t="str">
        <f>"0611831660100"</f>
        <v>0611831660100</v>
      </c>
      <c r="B1391" t="str">
        <f>"LK0641"</f>
        <v>LK0641</v>
      </c>
      <c r="C1391" t="s">
        <v>1355</v>
      </c>
    </row>
    <row r="1392" spans="1:3" x14ac:dyDescent="0.25">
      <c r="A1392" t="str">
        <f>"0611831661100"</f>
        <v>0611831661100</v>
      </c>
      <c r="B1392" t="str">
        <f>"LK0642"</f>
        <v>LK0642</v>
      </c>
      <c r="C1392" t="s">
        <v>1356</v>
      </c>
    </row>
    <row r="1393" spans="1:3" x14ac:dyDescent="0.25">
      <c r="A1393" t="str">
        <f>"0611831662100"</f>
        <v>0611831662100</v>
      </c>
      <c r="B1393" t="str">
        <f>"LK0643"</f>
        <v>LK0643</v>
      </c>
      <c r="C1393" t="s">
        <v>1357</v>
      </c>
    </row>
    <row r="1394" spans="1:3" x14ac:dyDescent="0.25">
      <c r="A1394" t="str">
        <f>"0611831663100"</f>
        <v>0611831663100</v>
      </c>
      <c r="B1394" t="str">
        <f>"LK6357"</f>
        <v>LK6357</v>
      </c>
      <c r="C1394" t="s">
        <v>1359</v>
      </c>
    </row>
    <row r="1395" spans="1:3" x14ac:dyDescent="0.25">
      <c r="A1395" t="str">
        <f>"0611831664100"</f>
        <v>0611831664100</v>
      </c>
      <c r="B1395" t="str">
        <f>"LK6597"</f>
        <v>LK6597</v>
      </c>
      <c r="C1395" t="s">
        <v>1358</v>
      </c>
    </row>
    <row r="1396" spans="1:3" x14ac:dyDescent="0.25">
      <c r="A1396" t="str">
        <f>"0611831665100"</f>
        <v>0611831665100</v>
      </c>
      <c r="B1396" t="str">
        <f>"LK6358"</f>
        <v>LK6358</v>
      </c>
      <c r="C1396" t="s">
        <v>1360</v>
      </c>
    </row>
    <row r="1397" spans="1:3" x14ac:dyDescent="0.25">
      <c r="A1397" t="str">
        <f>"0611831666100"</f>
        <v>0611831666100</v>
      </c>
      <c r="B1397" t="str">
        <f>"LK6359"</f>
        <v>LK6359</v>
      </c>
      <c r="C1397" t="s">
        <v>1361</v>
      </c>
    </row>
    <row r="1398" spans="1:3" x14ac:dyDescent="0.25">
      <c r="A1398" t="str">
        <f>"0611831667100"</f>
        <v>0611831667100</v>
      </c>
      <c r="B1398" t="str">
        <f>"LK6033"</f>
        <v>LK6033</v>
      </c>
      <c r="C1398" t="s">
        <v>1362</v>
      </c>
    </row>
    <row r="1399" spans="1:3" x14ac:dyDescent="0.25">
      <c r="A1399" t="str">
        <f>"0611831668100"</f>
        <v>0611831668100</v>
      </c>
      <c r="B1399" t="str">
        <f>"LK6034"</f>
        <v>LK6034</v>
      </c>
      <c r="C1399" t="s">
        <v>1363</v>
      </c>
    </row>
    <row r="1400" spans="1:3" x14ac:dyDescent="0.25">
      <c r="A1400" t="str">
        <f>"0611831669100"</f>
        <v>0611831669100</v>
      </c>
      <c r="B1400" t="str">
        <f>"LK6035"</f>
        <v>LK6035</v>
      </c>
      <c r="C1400" t="s">
        <v>1364</v>
      </c>
    </row>
    <row r="1401" spans="1:3" x14ac:dyDescent="0.25">
      <c r="A1401" t="str">
        <f>"0611831670100"</f>
        <v>0611831670100</v>
      </c>
      <c r="B1401" t="str">
        <f>"LK6036"</f>
        <v>LK6036</v>
      </c>
      <c r="C1401" t="s">
        <v>1365</v>
      </c>
    </row>
    <row r="1402" spans="1:3" x14ac:dyDescent="0.25">
      <c r="A1402" t="str">
        <f>"0611831671100"</f>
        <v>0611831671100</v>
      </c>
      <c r="B1402" t="str">
        <f>"LK6037"</f>
        <v>LK6037</v>
      </c>
      <c r="C1402" t="s">
        <v>1366</v>
      </c>
    </row>
    <row r="1403" spans="1:3" x14ac:dyDescent="0.25">
      <c r="A1403" t="str">
        <f>"0611860664050"</f>
        <v>0611860664050</v>
      </c>
      <c r="B1403" t="str">
        <f>"CR2048"</f>
        <v>CR2048</v>
      </c>
      <c r="C1403" t="s">
        <v>1368</v>
      </c>
    </row>
    <row r="1404" spans="1:3" x14ac:dyDescent="0.25">
      <c r="A1404" t="str">
        <f>"0611860665050"</f>
        <v>0611860665050</v>
      </c>
      <c r="B1404" t="str">
        <f>"CR3667"</f>
        <v>CR3667</v>
      </c>
      <c r="C1404" t="s">
        <v>1369</v>
      </c>
    </row>
    <row r="1405" spans="1:3" x14ac:dyDescent="0.25">
      <c r="A1405" t="str">
        <f>"0611860666050"</f>
        <v>0611860666050</v>
      </c>
      <c r="B1405" t="str">
        <f>"CR2049"</f>
        <v>CR2049</v>
      </c>
      <c r="C1405" t="s">
        <v>1370</v>
      </c>
    </row>
    <row r="1406" spans="1:3" x14ac:dyDescent="0.25">
      <c r="A1406" t="str">
        <f>"0611831673100"</f>
        <v>0611831673100</v>
      </c>
      <c r="B1406" t="str">
        <f>"LK3290"</f>
        <v>LK3290</v>
      </c>
      <c r="C1406" t="s">
        <v>1371</v>
      </c>
    </row>
    <row r="1407" spans="1:3" x14ac:dyDescent="0.25">
      <c r="A1407" t="str">
        <f>"0611831674100"</f>
        <v>0611831674100</v>
      </c>
      <c r="B1407" t="str">
        <f>"LB0788"</f>
        <v>LB0788</v>
      </c>
      <c r="C1407" t="s">
        <v>1372</v>
      </c>
    </row>
    <row r="1408" spans="1:3" x14ac:dyDescent="0.25">
      <c r="A1408" t="str">
        <f>"0611831675100"</f>
        <v>0611831675100</v>
      </c>
      <c r="B1408" t="str">
        <f>"LB0789"</f>
        <v>LB0789</v>
      </c>
      <c r="C1408" t="s">
        <v>1373</v>
      </c>
    </row>
    <row r="1409" spans="1:3" x14ac:dyDescent="0.25">
      <c r="A1409" t="str">
        <f>"0611860667050"</f>
        <v>0611860667050</v>
      </c>
      <c r="B1409" t="str">
        <f>"CR2035"</f>
        <v>CR2035</v>
      </c>
      <c r="C1409" t="s">
        <v>1374</v>
      </c>
    </row>
    <row r="1410" spans="1:3" x14ac:dyDescent="0.25">
      <c r="A1410" t="str">
        <f>"0611831676100"</f>
        <v>0611831676100</v>
      </c>
      <c r="B1410" t="str">
        <f>"LB0791"</f>
        <v>LB0791</v>
      </c>
      <c r="C1410" t="s">
        <v>1375</v>
      </c>
    </row>
    <row r="1411" spans="1:3" x14ac:dyDescent="0.25">
      <c r="A1411" t="str">
        <f>"0611831677100"</f>
        <v>0611831677100</v>
      </c>
      <c r="B1411" t="str">
        <f>"LB0790"</f>
        <v>LB0790</v>
      </c>
      <c r="C1411" t="s">
        <v>1376</v>
      </c>
    </row>
    <row r="1412" spans="1:3" x14ac:dyDescent="0.25">
      <c r="A1412" t="str">
        <f>"0611831678100"</f>
        <v>0611831678100</v>
      </c>
      <c r="B1412" t="str">
        <f>"LQ3643"</f>
        <v>LQ3643</v>
      </c>
      <c r="C1412" t="s">
        <v>1377</v>
      </c>
    </row>
    <row r="1413" spans="1:3" x14ac:dyDescent="0.25">
      <c r="A1413" t="str">
        <f>"0611831679100"</f>
        <v>0611831679100</v>
      </c>
      <c r="B1413" t="str">
        <f>"LQ3680"</f>
        <v>LQ3680</v>
      </c>
      <c r="C1413" t="s">
        <v>1378</v>
      </c>
    </row>
    <row r="1414" spans="1:3" x14ac:dyDescent="0.25">
      <c r="A1414" t="str">
        <f>"0611831682100"</f>
        <v>0611831682100</v>
      </c>
      <c r="B1414" t="str">
        <f>"LQ3793"</f>
        <v>LQ3793</v>
      </c>
      <c r="C1414" t="s">
        <v>1379</v>
      </c>
    </row>
    <row r="1415" spans="1:3" x14ac:dyDescent="0.25">
      <c r="A1415" t="str">
        <f>"0611831683100"</f>
        <v>0611831683100</v>
      </c>
      <c r="B1415" t="str">
        <f>"LK5998"</f>
        <v>LK5998</v>
      </c>
      <c r="C1415" t="s">
        <v>1380</v>
      </c>
    </row>
    <row r="1416" spans="1:3" x14ac:dyDescent="0.25">
      <c r="A1416" t="str">
        <f>"0611831684100"</f>
        <v>0611831684100</v>
      </c>
      <c r="B1416" t="str">
        <f>"LQ3511"</f>
        <v>LQ3511</v>
      </c>
      <c r="C1416" t="s">
        <v>1381</v>
      </c>
    </row>
    <row r="1417" spans="1:3" x14ac:dyDescent="0.25">
      <c r="A1417" t="str">
        <f>"0611860668050"</f>
        <v>0611860668050</v>
      </c>
      <c r="B1417" t="str">
        <f>"CR2051"</f>
        <v>CR2051</v>
      </c>
      <c r="C1417" t="s">
        <v>1382</v>
      </c>
    </row>
    <row r="1418" spans="1:3" x14ac:dyDescent="0.25">
      <c r="A1418" t="str">
        <f>"0611831686100"</f>
        <v>0611831686100</v>
      </c>
      <c r="B1418" t="str">
        <f>"LK6675"</f>
        <v>LK6675</v>
      </c>
      <c r="C1418" t="s">
        <v>1383</v>
      </c>
    </row>
    <row r="1419" spans="1:3" x14ac:dyDescent="0.25">
      <c r="A1419" t="str">
        <f>"0611831685100"</f>
        <v>0611831685100</v>
      </c>
      <c r="B1419" t="str">
        <f>"LK6676"</f>
        <v>LK6676</v>
      </c>
      <c r="C1419" t="s">
        <v>1384</v>
      </c>
    </row>
    <row r="1420" spans="1:3" x14ac:dyDescent="0.25">
      <c r="A1420" t="str">
        <f>"0611831689100"</f>
        <v>0611831689100</v>
      </c>
      <c r="B1420" t="str">
        <f>"LK6984"</f>
        <v>LK6984</v>
      </c>
      <c r="C1420" t="s">
        <v>1385</v>
      </c>
    </row>
    <row r="1421" spans="1:3" x14ac:dyDescent="0.25">
      <c r="A1421" t="str">
        <f>"0611831688100"</f>
        <v>0611831688100</v>
      </c>
      <c r="B1421" t="str">
        <f>"LK6677"</f>
        <v>LK6677</v>
      </c>
      <c r="C1421" t="s">
        <v>1386</v>
      </c>
    </row>
    <row r="1422" spans="1:3" x14ac:dyDescent="0.25">
      <c r="A1422" t="str">
        <f>"0611831687100"</f>
        <v>0611831687100</v>
      </c>
      <c r="B1422" t="str">
        <f>"LK6678"</f>
        <v>LK6678</v>
      </c>
      <c r="C1422" t="s">
        <v>1387</v>
      </c>
    </row>
    <row r="1423" spans="1:3" x14ac:dyDescent="0.25">
      <c r="A1423" t="str">
        <f>"0611831690100"</f>
        <v>0611831690100</v>
      </c>
      <c r="B1423" t="str">
        <f>"LK6679"</f>
        <v>LK6679</v>
      </c>
      <c r="C1423" t="s">
        <v>1388</v>
      </c>
    </row>
    <row r="1424" spans="1:3" x14ac:dyDescent="0.25">
      <c r="A1424" t="str">
        <f>"0611831691100"</f>
        <v>0611831691100</v>
      </c>
      <c r="B1424" t="str">
        <f>"LK6680"</f>
        <v>LK6680</v>
      </c>
      <c r="C1424" t="s">
        <v>1389</v>
      </c>
    </row>
    <row r="1425" spans="1:3" x14ac:dyDescent="0.25">
      <c r="A1425" t="str">
        <f>"0611831692100"</f>
        <v>0611831692100</v>
      </c>
      <c r="B1425" t="str">
        <f>"LK6681"</f>
        <v>LK6681</v>
      </c>
      <c r="C1425" t="s">
        <v>1390</v>
      </c>
    </row>
    <row r="1426" spans="1:3" x14ac:dyDescent="0.25">
      <c r="A1426" t="str">
        <f>"0611831693100"</f>
        <v>0611831693100</v>
      </c>
      <c r="B1426" t="str">
        <f>"LK6682"</f>
        <v>LK6682</v>
      </c>
      <c r="C1426" t="s">
        <v>1391</v>
      </c>
    </row>
    <row r="1427" spans="1:3" x14ac:dyDescent="0.25">
      <c r="A1427" t="str">
        <f>"0611831694100"</f>
        <v>0611831694100</v>
      </c>
      <c r="B1427" t="str">
        <f>"LK6985"</f>
        <v>LK6985</v>
      </c>
      <c r="C1427" t="s">
        <v>1392</v>
      </c>
    </row>
    <row r="1428" spans="1:3" x14ac:dyDescent="0.25">
      <c r="A1428" t="str">
        <f>"0611906664100"</f>
        <v>0611906664100</v>
      </c>
      <c r="B1428" t="str">
        <f>"LK7238"</f>
        <v>LK7238</v>
      </c>
      <c r="C1428" t="s">
        <v>1393</v>
      </c>
    </row>
    <row r="1429" spans="1:3" x14ac:dyDescent="0.25">
      <c r="A1429" t="str">
        <f>"0611831695100"</f>
        <v>0611831695100</v>
      </c>
      <c r="B1429" t="str">
        <f>"LK6683"</f>
        <v>LK6683</v>
      </c>
      <c r="C1429" t="s">
        <v>1394</v>
      </c>
    </row>
    <row r="1430" spans="1:3" x14ac:dyDescent="0.25">
      <c r="A1430" t="str">
        <f>"0611831696100"</f>
        <v>0611831696100</v>
      </c>
      <c r="B1430" t="str">
        <f>"LK6563"</f>
        <v>LK6563</v>
      </c>
      <c r="C1430" t="s">
        <v>1395</v>
      </c>
    </row>
    <row r="1431" spans="1:3" x14ac:dyDescent="0.25">
      <c r="A1431" t="str">
        <f>"0611831697100"</f>
        <v>0611831697100</v>
      </c>
      <c r="B1431" t="str">
        <f>"LK6684"</f>
        <v>LK6684</v>
      </c>
      <c r="C1431" t="s">
        <v>1396</v>
      </c>
    </row>
    <row r="1432" spans="1:3" x14ac:dyDescent="0.25">
      <c r="A1432" t="str">
        <f>"0611831698100"</f>
        <v>0611831698100</v>
      </c>
      <c r="B1432" t="str">
        <f>"LK6685"</f>
        <v>LK6685</v>
      </c>
      <c r="C1432" t="s">
        <v>1397</v>
      </c>
    </row>
    <row r="1433" spans="1:3" x14ac:dyDescent="0.25">
      <c r="A1433" t="str">
        <f>"0611831699100"</f>
        <v>0611831699100</v>
      </c>
      <c r="B1433" t="str">
        <f>"LK3787"</f>
        <v>LK3787</v>
      </c>
      <c r="C1433" t="s">
        <v>1398</v>
      </c>
    </row>
    <row r="1434" spans="1:3" x14ac:dyDescent="0.25">
      <c r="A1434" t="str">
        <f>"0611831700100"</f>
        <v>0611831700100</v>
      </c>
      <c r="B1434" t="str">
        <f>"LK3788"</f>
        <v>LK3788</v>
      </c>
      <c r="C1434" t="s">
        <v>1399</v>
      </c>
    </row>
    <row r="1435" spans="1:3" x14ac:dyDescent="0.25">
      <c r="A1435" t="str">
        <f>"0611831701100"</f>
        <v>0611831701100</v>
      </c>
      <c r="B1435" t="str">
        <f>"LK3789"</f>
        <v>LK3789</v>
      </c>
      <c r="C1435" t="s">
        <v>1400</v>
      </c>
    </row>
    <row r="1436" spans="1:3" x14ac:dyDescent="0.25">
      <c r="A1436" t="str">
        <f>"0611831702100"</f>
        <v>0611831702100</v>
      </c>
      <c r="B1436" t="str">
        <f>"LK3790"</f>
        <v>LK3790</v>
      </c>
      <c r="C1436" t="s">
        <v>1401</v>
      </c>
    </row>
    <row r="1437" spans="1:3" x14ac:dyDescent="0.25">
      <c r="A1437" t="str">
        <f>"0611831704100"</f>
        <v>0611831704100</v>
      </c>
      <c r="B1437" t="str">
        <f>"LQ3786"</f>
        <v>LQ3786</v>
      </c>
      <c r="C1437" t="s">
        <v>1402</v>
      </c>
    </row>
    <row r="1438" spans="1:3" x14ac:dyDescent="0.25">
      <c r="A1438" t="str">
        <f>"0611831705100"</f>
        <v>0611831705100</v>
      </c>
      <c r="B1438" t="str">
        <f>"LQ0629"</f>
        <v>LQ0629</v>
      </c>
      <c r="C1438" t="s">
        <v>1403</v>
      </c>
    </row>
    <row r="1439" spans="1:3" x14ac:dyDescent="0.25">
      <c r="A1439" t="str">
        <f>"0611906665100"</f>
        <v>0611906665100</v>
      </c>
      <c r="B1439" t="str">
        <f>"LQ3948"</f>
        <v>LQ3948</v>
      </c>
      <c r="C1439" t="s">
        <v>1404</v>
      </c>
    </row>
    <row r="1440" spans="1:3" x14ac:dyDescent="0.25">
      <c r="A1440" t="str">
        <f>"0611856839100"</f>
        <v>0611856839100</v>
      </c>
      <c r="B1440" t="str">
        <f>"LQ3868"</f>
        <v>LQ3868</v>
      </c>
      <c r="C1440" t="s">
        <v>1405</v>
      </c>
    </row>
    <row r="1441" spans="1:3" x14ac:dyDescent="0.25">
      <c r="A1441" t="str">
        <f>"0611831706100"</f>
        <v>0611831706100</v>
      </c>
      <c r="B1441" t="str">
        <f>"LQ5596"</f>
        <v>LQ5596</v>
      </c>
      <c r="C1441" t="s">
        <v>13777</v>
      </c>
    </row>
    <row r="1442" spans="1:3" x14ac:dyDescent="0.25">
      <c r="A1442" t="str">
        <f>"0611831707100"</f>
        <v>0611831707100</v>
      </c>
      <c r="B1442" t="str">
        <f>"LQ3741"</f>
        <v>LQ3741</v>
      </c>
      <c r="C1442" t="s">
        <v>1406</v>
      </c>
    </row>
    <row r="1443" spans="1:3" x14ac:dyDescent="0.25">
      <c r="A1443" t="str">
        <f>"0611831708100"</f>
        <v>0611831708100</v>
      </c>
      <c r="B1443" t="str">
        <f>"LQ0631"</f>
        <v>LQ0631</v>
      </c>
      <c r="C1443" t="s">
        <v>1407</v>
      </c>
    </row>
    <row r="1444" spans="1:3" x14ac:dyDescent="0.25">
      <c r="A1444" t="str">
        <f>"0611831709100"</f>
        <v>0611831709100</v>
      </c>
      <c r="B1444" t="str">
        <f>"LQ3742"</f>
        <v>LQ3742</v>
      </c>
      <c r="C1444" t="s">
        <v>1408</v>
      </c>
    </row>
    <row r="1445" spans="1:3" x14ac:dyDescent="0.25">
      <c r="A1445" t="str">
        <f>"0611831710100"</f>
        <v>0611831710100</v>
      </c>
      <c r="B1445" t="str">
        <f>"MB0810"</f>
        <v>MB0810</v>
      </c>
      <c r="C1445" t="s">
        <v>1409</v>
      </c>
    </row>
    <row r="1446" spans="1:3" x14ac:dyDescent="0.25">
      <c r="A1446" t="str">
        <f>"0611831711100"</f>
        <v>0611831711100</v>
      </c>
      <c r="B1446" t="str">
        <f>"LS0010"</f>
        <v>LS0010</v>
      </c>
      <c r="C1446" t="s">
        <v>1417</v>
      </c>
    </row>
    <row r="1447" spans="1:3" x14ac:dyDescent="0.25">
      <c r="A1447" t="str">
        <f>"0611831712100"</f>
        <v>0611831712100</v>
      </c>
      <c r="B1447" t="str">
        <f>"LB1215"</f>
        <v>LB1215</v>
      </c>
      <c r="C1447" t="s">
        <v>1416</v>
      </c>
    </row>
    <row r="1448" spans="1:3" x14ac:dyDescent="0.25">
      <c r="A1448" t="str">
        <f>"0611831713100"</f>
        <v>0611831713100</v>
      </c>
      <c r="B1448" t="str">
        <f>"LK4919"</f>
        <v>LK4919</v>
      </c>
      <c r="C1448" t="s">
        <v>1410</v>
      </c>
    </row>
    <row r="1449" spans="1:3" x14ac:dyDescent="0.25">
      <c r="A1449" t="str">
        <f>"0611831714100"</f>
        <v>0611831714100</v>
      </c>
      <c r="B1449" t="str">
        <f>"LK4921"</f>
        <v>LK4921</v>
      </c>
      <c r="C1449" t="s">
        <v>1411</v>
      </c>
    </row>
    <row r="1450" spans="1:3" x14ac:dyDescent="0.25">
      <c r="A1450" t="str">
        <f>"0611906666100"</f>
        <v>0611906666100</v>
      </c>
      <c r="B1450" t="str">
        <f>"LK7234"</f>
        <v>LK7234</v>
      </c>
      <c r="C1450" t="s">
        <v>1412</v>
      </c>
    </row>
    <row r="1451" spans="1:3" x14ac:dyDescent="0.25">
      <c r="A1451" t="str">
        <f>"0611831715100"</f>
        <v>0611831715100</v>
      </c>
      <c r="B1451" t="str">
        <f>"LK4920"</f>
        <v>LK4920</v>
      </c>
      <c r="C1451" t="s">
        <v>1413</v>
      </c>
    </row>
    <row r="1452" spans="1:3" x14ac:dyDescent="0.25">
      <c r="A1452" t="str">
        <f>"0611831716100"</f>
        <v>0611831716100</v>
      </c>
      <c r="B1452" t="str">
        <f>"LK4922"</f>
        <v>LK4922</v>
      </c>
      <c r="C1452" t="s">
        <v>1414</v>
      </c>
    </row>
    <row r="1453" spans="1:3" x14ac:dyDescent="0.25">
      <c r="A1453" t="str">
        <f>"0611906667100"</f>
        <v>0611906667100</v>
      </c>
      <c r="B1453" t="str">
        <f>"LK7235"</f>
        <v>LK7235</v>
      </c>
      <c r="C1453" t="s">
        <v>1415</v>
      </c>
    </row>
    <row r="1454" spans="1:3" x14ac:dyDescent="0.25">
      <c r="A1454" t="str">
        <f>"0611831720100"</f>
        <v>0611831720100</v>
      </c>
      <c r="B1454" t="str">
        <f>"LB1225"</f>
        <v>LB1225</v>
      </c>
      <c r="C1454" t="s">
        <v>1418</v>
      </c>
    </row>
    <row r="1455" spans="1:3" x14ac:dyDescent="0.25">
      <c r="A1455" t="str">
        <f>"0611831721100"</f>
        <v>0611831721100</v>
      </c>
      <c r="B1455" t="str">
        <f>"LQ3681"</f>
        <v>LQ3681</v>
      </c>
      <c r="C1455" t="s">
        <v>1419</v>
      </c>
    </row>
    <row r="1456" spans="1:3" x14ac:dyDescent="0.25">
      <c r="A1456" t="str">
        <f>"0611831724025"</f>
        <v>0611831724025</v>
      </c>
      <c r="B1456" t="str">
        <f>"MC3686"</f>
        <v>MC3686</v>
      </c>
      <c r="C1456" t="s">
        <v>1420</v>
      </c>
    </row>
    <row r="1457" spans="1:3" x14ac:dyDescent="0.25">
      <c r="A1457" t="str">
        <f>"0611831725025"</f>
        <v>0611831725025</v>
      </c>
      <c r="B1457" t="str">
        <f>"MC4321"</f>
        <v>MC4321</v>
      </c>
      <c r="C1457" t="s">
        <v>1421</v>
      </c>
    </row>
    <row r="1458" spans="1:3" x14ac:dyDescent="0.25">
      <c r="A1458" t="str">
        <f>"0611831726025"</f>
        <v>0611831726025</v>
      </c>
      <c r="B1458" t="str">
        <f>"MC4322"</f>
        <v>MC4322</v>
      </c>
      <c r="C1458" t="s">
        <v>1422</v>
      </c>
    </row>
    <row r="1459" spans="1:3" x14ac:dyDescent="0.25">
      <c r="A1459" t="str">
        <f>"0611831727025"</f>
        <v>0611831727025</v>
      </c>
      <c r="B1459" t="str">
        <f>"MC4323"</f>
        <v>MC4323</v>
      </c>
      <c r="C1459" t="s">
        <v>1423</v>
      </c>
    </row>
    <row r="1460" spans="1:3" x14ac:dyDescent="0.25">
      <c r="A1460" t="str">
        <f>"0611831728025"</f>
        <v>0611831728025</v>
      </c>
      <c r="B1460" t="str">
        <f>"MC4401"</f>
        <v>MC4401</v>
      </c>
      <c r="C1460" t="s">
        <v>1424</v>
      </c>
    </row>
    <row r="1461" spans="1:3" x14ac:dyDescent="0.25">
      <c r="A1461" t="str">
        <f>"0611831729025"</f>
        <v>0611831729025</v>
      </c>
      <c r="B1461" t="str">
        <f>"MC2654"</f>
        <v>MC2654</v>
      </c>
      <c r="C1461" t="s">
        <v>1425</v>
      </c>
    </row>
    <row r="1462" spans="1:3" x14ac:dyDescent="0.25">
      <c r="A1462" t="str">
        <f>"0611831730025"</f>
        <v>0611831730025</v>
      </c>
      <c r="B1462" t="str">
        <f>"MC2655"</f>
        <v>MC2655</v>
      </c>
      <c r="C1462" t="s">
        <v>1426</v>
      </c>
    </row>
    <row r="1463" spans="1:3" x14ac:dyDescent="0.25">
      <c r="A1463" t="str">
        <f>"0611831731025"</f>
        <v>0611831731025</v>
      </c>
      <c r="B1463" t="str">
        <f>"MC4310"</f>
        <v>MC4310</v>
      </c>
      <c r="C1463" t="s">
        <v>1427</v>
      </c>
    </row>
    <row r="1464" spans="1:3" x14ac:dyDescent="0.25">
      <c r="A1464" t="str">
        <f>"0611831733025"</f>
        <v>0611831733025</v>
      </c>
      <c r="B1464" t="str">
        <f>"MC4311"</f>
        <v>MC4311</v>
      </c>
      <c r="C1464" t="s">
        <v>1428</v>
      </c>
    </row>
    <row r="1465" spans="1:3" x14ac:dyDescent="0.25">
      <c r="A1465" t="str">
        <f>"0611831734100"</f>
        <v>0611831734100</v>
      </c>
      <c r="B1465" t="str">
        <f>"LH3050"</f>
        <v>LH3050</v>
      </c>
      <c r="C1465" t="s">
        <v>1429</v>
      </c>
    </row>
    <row r="1466" spans="1:3" x14ac:dyDescent="0.25">
      <c r="A1466" t="str">
        <f>"0611831735025"</f>
        <v>0611831735025</v>
      </c>
      <c r="B1466" t="str">
        <f>"MC0136"</f>
        <v>MC0136</v>
      </c>
      <c r="C1466" t="s">
        <v>1430</v>
      </c>
    </row>
    <row r="1467" spans="1:3" x14ac:dyDescent="0.25">
      <c r="A1467" t="str">
        <f>"0611831736100"</f>
        <v>0611831736100</v>
      </c>
      <c r="B1467" t="str">
        <f>"LH3082"</f>
        <v>LH3082</v>
      </c>
      <c r="C1467" t="s">
        <v>1431</v>
      </c>
    </row>
    <row r="1468" spans="1:3" x14ac:dyDescent="0.25">
      <c r="A1468" t="str">
        <f>"0611831737025"</f>
        <v>0611831737025</v>
      </c>
      <c r="B1468" t="str">
        <f>"MC4135"</f>
        <v>MC4135</v>
      </c>
      <c r="C1468" t="s">
        <v>1432</v>
      </c>
    </row>
    <row r="1469" spans="1:3" x14ac:dyDescent="0.25">
      <c r="A1469" t="str">
        <f>"0611831740100"</f>
        <v>0611831740100</v>
      </c>
      <c r="B1469" t="str">
        <f>"LH3087"</f>
        <v>LH3087</v>
      </c>
      <c r="C1469" t="s">
        <v>1433</v>
      </c>
    </row>
    <row r="1470" spans="1:3" x14ac:dyDescent="0.25">
      <c r="A1470" t="str">
        <f>"0611831741025"</f>
        <v>0611831741025</v>
      </c>
      <c r="B1470" t="str">
        <f>"MC1452"</f>
        <v>MC1452</v>
      </c>
      <c r="C1470" t="s">
        <v>1434</v>
      </c>
    </row>
    <row r="1471" spans="1:3" x14ac:dyDescent="0.25">
      <c r="A1471" t="str">
        <f>"0611831742025"</f>
        <v>0611831742025</v>
      </c>
      <c r="B1471" t="str">
        <f>"MC0134"</f>
        <v>MC0134</v>
      </c>
      <c r="C1471" t="s">
        <v>1435</v>
      </c>
    </row>
    <row r="1472" spans="1:3" x14ac:dyDescent="0.25">
      <c r="A1472" t="str">
        <f>"0611831743025"</f>
        <v>0611831743025</v>
      </c>
      <c r="B1472" t="str">
        <f>"MC3286"</f>
        <v>MC3286</v>
      </c>
      <c r="C1472" t="s">
        <v>1436</v>
      </c>
    </row>
    <row r="1473" spans="1:3" x14ac:dyDescent="0.25">
      <c r="A1473" t="str">
        <f>"0611831744025"</f>
        <v>0611831744025</v>
      </c>
      <c r="B1473" t="str">
        <f>"MC1797"</f>
        <v>MC1797</v>
      </c>
      <c r="C1473" t="s">
        <v>1437</v>
      </c>
    </row>
    <row r="1474" spans="1:3" x14ac:dyDescent="0.25">
      <c r="A1474" t="str">
        <f>"0611831745025"</f>
        <v>0611831745025</v>
      </c>
      <c r="B1474" t="str">
        <f>"MC3884"</f>
        <v>MC3884</v>
      </c>
      <c r="C1474" t="s">
        <v>1438</v>
      </c>
    </row>
    <row r="1475" spans="1:3" x14ac:dyDescent="0.25">
      <c r="A1475" t="str">
        <f>"0611831746025"</f>
        <v>0611831746025</v>
      </c>
      <c r="B1475" t="str">
        <f>"MC0138"</f>
        <v>MC0138</v>
      </c>
      <c r="C1475" t="s">
        <v>1439</v>
      </c>
    </row>
    <row r="1476" spans="1:3" x14ac:dyDescent="0.25">
      <c r="A1476" t="str">
        <f>"0611831747025"</f>
        <v>0611831747025</v>
      </c>
      <c r="B1476" t="str">
        <f>"MC2632"</f>
        <v>MC2632</v>
      </c>
      <c r="C1476" t="s">
        <v>1440</v>
      </c>
    </row>
    <row r="1477" spans="1:3" x14ac:dyDescent="0.25">
      <c r="A1477" t="str">
        <f>"0611831748025"</f>
        <v>0611831748025</v>
      </c>
      <c r="B1477" t="str">
        <f>"MC4137"</f>
        <v>MC4137</v>
      </c>
      <c r="C1477" t="s">
        <v>1441</v>
      </c>
    </row>
    <row r="1478" spans="1:3" x14ac:dyDescent="0.25">
      <c r="A1478" t="str">
        <f>"0611831749025"</f>
        <v>0611831749025</v>
      </c>
      <c r="B1478" t="str">
        <f>"MC1801"</f>
        <v>MC1801</v>
      </c>
      <c r="C1478" t="s">
        <v>1442</v>
      </c>
    </row>
    <row r="1479" spans="1:3" x14ac:dyDescent="0.25">
      <c r="A1479" t="str">
        <f>"0611831763100"</f>
        <v>0611831763100</v>
      </c>
      <c r="B1479" t="str">
        <f>"LK5575"</f>
        <v>LK5575</v>
      </c>
      <c r="C1479" t="s">
        <v>1444</v>
      </c>
    </row>
    <row r="1480" spans="1:3" x14ac:dyDescent="0.25">
      <c r="A1480" t="str">
        <f>"0611831766100"</f>
        <v>0611831766100</v>
      </c>
      <c r="B1480" t="str">
        <f>"LQ0633"</f>
        <v>LQ0633</v>
      </c>
      <c r="C1480" t="s">
        <v>1445</v>
      </c>
    </row>
    <row r="1481" spans="1:3" x14ac:dyDescent="0.25">
      <c r="A1481" t="str">
        <f>"0611860669050"</f>
        <v>0611860669050</v>
      </c>
      <c r="B1481" t="str">
        <f>"CR3586"</f>
        <v>CR3586</v>
      </c>
      <c r="C1481" t="s">
        <v>1446</v>
      </c>
    </row>
    <row r="1482" spans="1:3" x14ac:dyDescent="0.25">
      <c r="A1482" t="str">
        <f>"0611860670050"</f>
        <v>0611860670050</v>
      </c>
      <c r="B1482" t="str">
        <f>"CR4001"</f>
        <v>CR4001</v>
      </c>
      <c r="C1482" t="s">
        <v>1447</v>
      </c>
    </row>
    <row r="1483" spans="1:3" x14ac:dyDescent="0.25">
      <c r="A1483" t="str">
        <f>"0611906537050"</f>
        <v>0611906537050</v>
      </c>
      <c r="B1483" t="str">
        <f>"CR5460"</f>
        <v>CR5460</v>
      </c>
      <c r="C1483" t="s">
        <v>1448</v>
      </c>
    </row>
    <row r="1484" spans="1:3" x14ac:dyDescent="0.25">
      <c r="A1484" t="str">
        <f>"0611860671050"</f>
        <v>0611860671050</v>
      </c>
      <c r="B1484" t="str">
        <f>"CR3955"</f>
        <v>CR3955</v>
      </c>
      <c r="C1484" t="s">
        <v>1449</v>
      </c>
    </row>
    <row r="1485" spans="1:3" x14ac:dyDescent="0.25">
      <c r="A1485" t="str">
        <f>"0611860672050"</f>
        <v>0611860672050</v>
      </c>
      <c r="B1485" t="str">
        <f>"CR2052"</f>
        <v>CR2052</v>
      </c>
      <c r="C1485" t="s">
        <v>1450</v>
      </c>
    </row>
    <row r="1486" spans="1:3" x14ac:dyDescent="0.25">
      <c r="A1486" t="str">
        <f>"0611860673050"</f>
        <v>0611860673050</v>
      </c>
      <c r="B1486" t="str">
        <f>"CR2053"</f>
        <v>CR2053</v>
      </c>
      <c r="C1486" t="s">
        <v>1451</v>
      </c>
    </row>
    <row r="1487" spans="1:3" x14ac:dyDescent="0.25">
      <c r="A1487" t="str">
        <f>"0611860674050"</f>
        <v>0611860674050</v>
      </c>
      <c r="B1487" t="str">
        <f>"CR3064"</f>
        <v>CR3064</v>
      </c>
      <c r="C1487" t="s">
        <v>1452</v>
      </c>
    </row>
    <row r="1488" spans="1:3" x14ac:dyDescent="0.25">
      <c r="A1488" t="str">
        <f>"0611860675050"</f>
        <v>0611860675050</v>
      </c>
      <c r="B1488" t="str">
        <f>"CR2054"</f>
        <v>CR2054</v>
      </c>
      <c r="C1488" t="s">
        <v>1453</v>
      </c>
    </row>
    <row r="1489" spans="1:3" x14ac:dyDescent="0.25">
      <c r="A1489" t="str">
        <f>"0611860676050"</f>
        <v>0611860676050</v>
      </c>
      <c r="B1489" t="str">
        <f>"CR3585"</f>
        <v>CR3585</v>
      </c>
      <c r="C1489" t="s">
        <v>1454</v>
      </c>
    </row>
    <row r="1490" spans="1:3" x14ac:dyDescent="0.25">
      <c r="A1490" t="str">
        <f>"0611831768100"</f>
        <v>0611831768100</v>
      </c>
      <c r="B1490" t="str">
        <f>"LQ6152"</f>
        <v>LQ6152</v>
      </c>
      <c r="C1490" t="s">
        <v>1455</v>
      </c>
    </row>
    <row r="1491" spans="1:3" x14ac:dyDescent="0.25">
      <c r="A1491" t="str">
        <f>"0611831769100"</f>
        <v>0611831769100</v>
      </c>
      <c r="B1491" t="str">
        <f>"LQ6089"</f>
        <v>LQ6089</v>
      </c>
      <c r="C1491" t="s">
        <v>1456</v>
      </c>
    </row>
    <row r="1492" spans="1:3" x14ac:dyDescent="0.25">
      <c r="A1492" t="str">
        <f>"0611831770100"</f>
        <v>0611831770100</v>
      </c>
      <c r="B1492" t="str">
        <f>"LQ6052"</f>
        <v>LQ6052</v>
      </c>
      <c r="C1492" t="s">
        <v>1457</v>
      </c>
    </row>
    <row r="1493" spans="1:3" x14ac:dyDescent="0.25">
      <c r="A1493" t="str">
        <f>"0611884054100"</f>
        <v>0611884054100</v>
      </c>
      <c r="B1493" t="str">
        <f>"LQ6289"</f>
        <v>LQ6289</v>
      </c>
      <c r="C1493" t="s">
        <v>1458</v>
      </c>
    </row>
    <row r="1494" spans="1:3" x14ac:dyDescent="0.25">
      <c r="A1494" t="str">
        <f>"0611860677050"</f>
        <v>0611860677050</v>
      </c>
      <c r="B1494" t="str">
        <f>"CE1637"</f>
        <v>CE1637</v>
      </c>
      <c r="C1494" t="s">
        <v>1459</v>
      </c>
    </row>
    <row r="1495" spans="1:3" x14ac:dyDescent="0.25">
      <c r="A1495" t="str">
        <f>"0611884055050"</f>
        <v>0611884055050</v>
      </c>
      <c r="B1495" t="str">
        <f>"CE1747"</f>
        <v>CE1747</v>
      </c>
      <c r="C1495" t="s">
        <v>1460</v>
      </c>
    </row>
    <row r="1496" spans="1:3" x14ac:dyDescent="0.25">
      <c r="A1496" t="str">
        <f>"0611860698050"</f>
        <v>0611860698050</v>
      </c>
      <c r="B1496" t="str">
        <f>"CE1641"</f>
        <v>CE1641</v>
      </c>
      <c r="C1496" t="s">
        <v>1461</v>
      </c>
    </row>
    <row r="1497" spans="1:3" x14ac:dyDescent="0.25">
      <c r="A1497" t="str">
        <f>"0611860678050"</f>
        <v>0611860678050</v>
      </c>
      <c r="B1497" t="str">
        <f>"CE1638"</f>
        <v>CE1638</v>
      </c>
      <c r="C1497" t="s">
        <v>1462</v>
      </c>
    </row>
    <row r="1498" spans="1:3" x14ac:dyDescent="0.25">
      <c r="A1498" t="str">
        <f>"0611860699050"</f>
        <v>0611860699050</v>
      </c>
      <c r="B1498" t="str">
        <f>"CE1642"</f>
        <v>CE1642</v>
      </c>
      <c r="C1498" t="s">
        <v>1463</v>
      </c>
    </row>
    <row r="1499" spans="1:3" x14ac:dyDescent="0.25">
      <c r="A1499" t="str">
        <f>"0611860679050"</f>
        <v>0611860679050</v>
      </c>
      <c r="B1499" t="str">
        <f>"CE1639"</f>
        <v>CE1639</v>
      </c>
      <c r="C1499" t="s">
        <v>1464</v>
      </c>
    </row>
    <row r="1500" spans="1:3" x14ac:dyDescent="0.25">
      <c r="A1500" t="str">
        <f>"0611860680050"</f>
        <v>0611860680050</v>
      </c>
      <c r="B1500" t="str">
        <f>"CE1590"</f>
        <v>CE1590</v>
      </c>
      <c r="C1500" t="s">
        <v>1465</v>
      </c>
    </row>
    <row r="1501" spans="1:3" x14ac:dyDescent="0.25">
      <c r="A1501" t="str">
        <f>"0611856840100"</f>
        <v>0611856840100</v>
      </c>
      <c r="B1501" t="str">
        <f>"LQ3876"</f>
        <v>LQ3876</v>
      </c>
      <c r="C1501" t="s">
        <v>1466</v>
      </c>
    </row>
    <row r="1502" spans="1:3" x14ac:dyDescent="0.25">
      <c r="A1502" t="str">
        <f>"0611856841100"</f>
        <v>0611856841100</v>
      </c>
      <c r="B1502" t="str">
        <f>"LQ3877"</f>
        <v>LQ3877</v>
      </c>
      <c r="C1502" t="s">
        <v>1467</v>
      </c>
    </row>
    <row r="1503" spans="1:3" x14ac:dyDescent="0.25">
      <c r="A1503" t="str">
        <f>"0611831771100"</f>
        <v>0611831771100</v>
      </c>
      <c r="B1503" t="str">
        <f>"LQ0860"</f>
        <v>LQ0860</v>
      </c>
      <c r="C1503" t="s">
        <v>1468</v>
      </c>
    </row>
    <row r="1504" spans="1:3" x14ac:dyDescent="0.25">
      <c r="A1504" t="str">
        <f>"0611831773100"</f>
        <v>0611831773100</v>
      </c>
      <c r="B1504" t="str">
        <f>"LQ3743"</f>
        <v>LQ3743</v>
      </c>
      <c r="C1504" t="s">
        <v>1469</v>
      </c>
    </row>
    <row r="1505" spans="1:3" x14ac:dyDescent="0.25">
      <c r="A1505" t="str">
        <f>"0611831774100"</f>
        <v>0611831774100</v>
      </c>
      <c r="B1505" t="str">
        <f>"LQ3388"</f>
        <v>LQ3388</v>
      </c>
      <c r="C1505" t="s">
        <v>1470</v>
      </c>
    </row>
    <row r="1506" spans="1:3" x14ac:dyDescent="0.25">
      <c r="A1506" t="str">
        <f>"0611831775100"</f>
        <v>0611831775100</v>
      </c>
      <c r="B1506" t="str">
        <f>"LQ0861"</f>
        <v>LQ0861</v>
      </c>
      <c r="C1506" t="s">
        <v>1471</v>
      </c>
    </row>
    <row r="1507" spans="1:3" x14ac:dyDescent="0.25">
      <c r="A1507" t="str">
        <f>"0611831776100"</f>
        <v>0611831776100</v>
      </c>
      <c r="B1507" t="str">
        <f>"LQ6053"</f>
        <v>LQ6053</v>
      </c>
      <c r="C1507" t="s">
        <v>1472</v>
      </c>
    </row>
    <row r="1508" spans="1:3" x14ac:dyDescent="0.25">
      <c r="A1508" t="str">
        <f>"0611831777100"</f>
        <v>0611831777100</v>
      </c>
      <c r="B1508" t="str">
        <f>"LQ6054"</f>
        <v>LQ6054</v>
      </c>
      <c r="C1508" t="s">
        <v>1473</v>
      </c>
    </row>
    <row r="1509" spans="1:3" x14ac:dyDescent="0.25">
      <c r="A1509" t="str">
        <f>"0611860681050"</f>
        <v>0611860681050</v>
      </c>
      <c r="B1509" t="str">
        <f>"CE0388"</f>
        <v>CE0388</v>
      </c>
      <c r="C1509" t="s">
        <v>1474</v>
      </c>
    </row>
    <row r="1510" spans="1:3" x14ac:dyDescent="0.25">
      <c r="A1510" t="str">
        <f>"0611860682050"</f>
        <v>0611860682050</v>
      </c>
      <c r="B1510" t="str">
        <f>"CE0764"</f>
        <v>CE0764</v>
      </c>
      <c r="C1510" t="s">
        <v>1475</v>
      </c>
    </row>
    <row r="1511" spans="1:3" x14ac:dyDescent="0.25">
      <c r="A1511" t="str">
        <f>"0611860683050"</f>
        <v>0611860683050</v>
      </c>
      <c r="B1511" t="str">
        <f>"CE1298"</f>
        <v>CE1298</v>
      </c>
      <c r="C1511" t="s">
        <v>1476</v>
      </c>
    </row>
    <row r="1512" spans="1:3" x14ac:dyDescent="0.25">
      <c r="A1512" t="str">
        <f>"0611860684050"</f>
        <v>0611860684050</v>
      </c>
      <c r="B1512" t="str">
        <f>"CE0843"</f>
        <v>CE0843</v>
      </c>
      <c r="C1512" t="s">
        <v>1477</v>
      </c>
    </row>
    <row r="1513" spans="1:3" x14ac:dyDescent="0.25">
      <c r="A1513" t="str">
        <f>"0611831778100"</f>
        <v>0611831778100</v>
      </c>
      <c r="B1513" t="str">
        <f>"LQ3290"</f>
        <v>LQ3290</v>
      </c>
      <c r="C1513" t="s">
        <v>1478</v>
      </c>
    </row>
    <row r="1514" spans="1:3" x14ac:dyDescent="0.25">
      <c r="A1514" t="str">
        <f>"0611831779100"</f>
        <v>0611831779100</v>
      </c>
      <c r="B1514" t="str">
        <f>"LQ6090"</f>
        <v>LQ6090</v>
      </c>
      <c r="C1514" t="s">
        <v>1479</v>
      </c>
    </row>
    <row r="1515" spans="1:3" x14ac:dyDescent="0.25">
      <c r="A1515" t="str">
        <f>"0611831780100"</f>
        <v>0611831780100</v>
      </c>
      <c r="B1515" t="str">
        <f>"LK6990"</f>
        <v>LK6990</v>
      </c>
      <c r="C1515" t="s">
        <v>1480</v>
      </c>
    </row>
    <row r="1516" spans="1:3" x14ac:dyDescent="0.25">
      <c r="A1516" t="str">
        <f>"0611860685050"</f>
        <v>0611860685050</v>
      </c>
      <c r="B1516" t="str">
        <f>"CR4917"</f>
        <v>CR4917</v>
      </c>
      <c r="C1516" t="s">
        <v>1481</v>
      </c>
    </row>
    <row r="1517" spans="1:3" x14ac:dyDescent="0.25">
      <c r="A1517" t="str">
        <f>"0611860686050"</f>
        <v>0611860686050</v>
      </c>
      <c r="B1517" t="str">
        <f>"CR4919"</f>
        <v>CR4919</v>
      </c>
      <c r="C1517" t="s">
        <v>1482</v>
      </c>
    </row>
    <row r="1518" spans="1:3" x14ac:dyDescent="0.25">
      <c r="A1518" t="str">
        <f>"0611860687050"</f>
        <v>0611860687050</v>
      </c>
      <c r="B1518" t="str">
        <f>"CR4918"</f>
        <v>CR4918</v>
      </c>
      <c r="C1518" t="s">
        <v>1483</v>
      </c>
    </row>
    <row r="1519" spans="1:3" x14ac:dyDescent="0.25">
      <c r="A1519" t="str">
        <f>"0611860688050"</f>
        <v>0611860688050</v>
      </c>
      <c r="B1519" t="str">
        <f>"CR4920"</f>
        <v>CR4920</v>
      </c>
      <c r="C1519" t="s">
        <v>1484</v>
      </c>
    </row>
    <row r="1520" spans="1:3" x14ac:dyDescent="0.25">
      <c r="A1520" t="str">
        <f>"0611831781100"</f>
        <v>0611831781100</v>
      </c>
      <c r="B1520" t="str">
        <f>"LQ3825"</f>
        <v>LQ3825</v>
      </c>
      <c r="C1520" t="s">
        <v>1485</v>
      </c>
    </row>
    <row r="1521" spans="1:3" x14ac:dyDescent="0.25">
      <c r="A1521" t="str">
        <f>"0611856842100"</f>
        <v>0611856842100</v>
      </c>
      <c r="B1521" t="str">
        <f>"LQ6251"</f>
        <v>LQ6251</v>
      </c>
      <c r="C1521" t="s">
        <v>1486</v>
      </c>
    </row>
    <row r="1522" spans="1:3" x14ac:dyDescent="0.25">
      <c r="A1522" t="str">
        <f>"0611831767100"</f>
        <v>0611831767100</v>
      </c>
      <c r="B1522" t="str">
        <f>"LK6370"</f>
        <v>LK6370</v>
      </c>
      <c r="C1522" t="s">
        <v>1487</v>
      </c>
    </row>
    <row r="1523" spans="1:3" x14ac:dyDescent="0.25">
      <c r="A1523" t="str">
        <f>"0611906668100"</f>
        <v>0611906668100</v>
      </c>
      <c r="B1523" t="str">
        <f>"LQ6305"</f>
        <v>LQ6305</v>
      </c>
      <c r="C1523" t="s">
        <v>1488</v>
      </c>
    </row>
    <row r="1524" spans="1:3" x14ac:dyDescent="0.25">
      <c r="A1524" t="str">
        <f>"0611906669100"</f>
        <v>0611906669100</v>
      </c>
      <c r="B1524" t="str">
        <f>"LQ6306"</f>
        <v>LQ6306</v>
      </c>
      <c r="C1524" t="s">
        <v>1489</v>
      </c>
    </row>
    <row r="1525" spans="1:3" x14ac:dyDescent="0.25">
      <c r="A1525" t="str">
        <f>"0611831782100"</f>
        <v>0611831782100</v>
      </c>
      <c r="B1525" t="str">
        <f>"LQ6091"</f>
        <v>LQ6091</v>
      </c>
      <c r="C1525" t="s">
        <v>1490</v>
      </c>
    </row>
    <row r="1526" spans="1:3" x14ac:dyDescent="0.25">
      <c r="A1526" t="str">
        <f>"0611831783100"</f>
        <v>0611831783100</v>
      </c>
      <c r="B1526" t="str">
        <f>"LQ5499"</f>
        <v>LQ5499</v>
      </c>
      <c r="C1526" t="s">
        <v>1491</v>
      </c>
    </row>
    <row r="1527" spans="1:3" x14ac:dyDescent="0.25">
      <c r="A1527" t="str">
        <f>"0611831784100"</f>
        <v>0611831784100</v>
      </c>
      <c r="B1527" t="str">
        <f>"LQ5996"</f>
        <v>LQ5996</v>
      </c>
      <c r="C1527" t="s">
        <v>1492</v>
      </c>
    </row>
    <row r="1528" spans="1:3" x14ac:dyDescent="0.25">
      <c r="A1528" t="str">
        <f>"0611831785100"</f>
        <v>0611831785100</v>
      </c>
      <c r="B1528" t="str">
        <f>"LB1230"</f>
        <v>LB1230</v>
      </c>
      <c r="C1528" t="s">
        <v>1493</v>
      </c>
    </row>
    <row r="1529" spans="1:3" x14ac:dyDescent="0.25">
      <c r="A1529" t="str">
        <f>"0611831786100"</f>
        <v>0611831786100</v>
      </c>
      <c r="B1529" t="str">
        <f>"LQ6153"</f>
        <v>LQ6153</v>
      </c>
      <c r="C1529" t="s">
        <v>1494</v>
      </c>
    </row>
    <row r="1530" spans="1:3" x14ac:dyDescent="0.25">
      <c r="A1530" t="str">
        <f>"0611831787100"</f>
        <v>0611831787100</v>
      </c>
      <c r="B1530" t="str">
        <f>"LQ5833"</f>
        <v>LQ5833</v>
      </c>
      <c r="C1530" t="s">
        <v>1495</v>
      </c>
    </row>
    <row r="1531" spans="1:3" x14ac:dyDescent="0.25">
      <c r="A1531" t="str">
        <f>"0611839511100"</f>
        <v>0611839511100</v>
      </c>
      <c r="B1531" t="str">
        <f>"MB0010"</f>
        <v>MB0010</v>
      </c>
      <c r="C1531" t="s">
        <v>1496</v>
      </c>
    </row>
    <row r="1532" spans="1:3" x14ac:dyDescent="0.25">
      <c r="A1532" t="str">
        <f>"0611839512100"</f>
        <v>0611839512100</v>
      </c>
      <c r="B1532" t="str">
        <f>"LA0010"</f>
        <v>LA0010</v>
      </c>
      <c r="C1532" t="s">
        <v>1497</v>
      </c>
    </row>
    <row r="1533" spans="1:3" x14ac:dyDescent="0.25">
      <c r="A1533" t="str">
        <f>"0611839513025"</f>
        <v>0611839513025</v>
      </c>
      <c r="B1533" t="str">
        <f>"MC0753"</f>
        <v>MC0753</v>
      </c>
      <c r="C1533" t="s">
        <v>1498</v>
      </c>
    </row>
    <row r="1534" spans="1:3" x14ac:dyDescent="0.25">
      <c r="A1534" t="str">
        <f>"0611839897025"</f>
        <v>0611839897025</v>
      </c>
      <c r="B1534" t="str">
        <f>"MC3664"</f>
        <v>MC3664</v>
      </c>
      <c r="C1534" t="s">
        <v>1499</v>
      </c>
    </row>
    <row r="1535" spans="1:3" x14ac:dyDescent="0.25">
      <c r="A1535" t="str">
        <f>"0611831788100"</f>
        <v>0611831788100</v>
      </c>
      <c r="B1535" t="str">
        <f>"LF2023"</f>
        <v>LF2023</v>
      </c>
      <c r="C1535" t="s">
        <v>1500</v>
      </c>
    </row>
    <row r="1536" spans="1:3" x14ac:dyDescent="0.25">
      <c r="A1536" t="str">
        <f>"0611831789100"</f>
        <v>0611831789100</v>
      </c>
      <c r="B1536" t="str">
        <f>"LC5340"</f>
        <v>LC5340</v>
      </c>
      <c r="C1536" t="s">
        <v>1501</v>
      </c>
    </row>
    <row r="1537" spans="1:3" x14ac:dyDescent="0.25">
      <c r="A1537" t="str">
        <f>"0611831790100"</f>
        <v>0611831790100</v>
      </c>
      <c r="B1537" t="str">
        <f>"MB1200"</f>
        <v>MB1200</v>
      </c>
      <c r="C1537" t="s">
        <v>1502</v>
      </c>
    </row>
    <row r="1538" spans="1:3" x14ac:dyDescent="0.25">
      <c r="A1538" t="str">
        <f>"0611831791100"</f>
        <v>0611831791100</v>
      </c>
      <c r="B1538" t="str">
        <f>"LK5438"</f>
        <v>LK5438</v>
      </c>
      <c r="C1538" t="s">
        <v>1503</v>
      </c>
    </row>
    <row r="1539" spans="1:3" x14ac:dyDescent="0.25">
      <c r="A1539" t="str">
        <f>"0611856843100"</f>
        <v>0611856843100</v>
      </c>
      <c r="B1539" t="str">
        <f>"LG0850"</f>
        <v>LG0850</v>
      </c>
      <c r="C1539" t="s">
        <v>1504</v>
      </c>
    </row>
    <row r="1540" spans="1:3" x14ac:dyDescent="0.25">
      <c r="A1540" t="str">
        <f>"0611831794100"</f>
        <v>0611831794100</v>
      </c>
      <c r="B1540" t="str">
        <f>"LK2528"</f>
        <v>LK2528</v>
      </c>
      <c r="C1540" t="s">
        <v>1505</v>
      </c>
    </row>
    <row r="1541" spans="1:3" x14ac:dyDescent="0.25">
      <c r="A1541" t="str">
        <f>"0611831795100"</f>
        <v>0611831795100</v>
      </c>
      <c r="B1541" t="str">
        <f>"LQ5683"</f>
        <v>LQ5683</v>
      </c>
      <c r="C1541" t="s">
        <v>1506</v>
      </c>
    </row>
    <row r="1542" spans="1:3" x14ac:dyDescent="0.25">
      <c r="A1542" t="str">
        <f>"0611831796100"</f>
        <v>0611831796100</v>
      </c>
      <c r="B1542" t="str">
        <f>"LQ6093"</f>
        <v>LQ6093</v>
      </c>
      <c r="C1542" t="s">
        <v>1507</v>
      </c>
    </row>
    <row r="1543" spans="1:3" x14ac:dyDescent="0.25">
      <c r="A1543" t="str">
        <f>"0611831797100"</f>
        <v>0611831797100</v>
      </c>
      <c r="B1543" t="str">
        <f>"LQ6136"</f>
        <v>LQ6136</v>
      </c>
      <c r="C1543" t="s">
        <v>1508</v>
      </c>
    </row>
    <row r="1544" spans="1:3" x14ac:dyDescent="0.25">
      <c r="A1544" t="str">
        <f>"0611831799100"</f>
        <v>0611831799100</v>
      </c>
      <c r="B1544" t="str">
        <f>"LQ5684"</f>
        <v>LQ5684</v>
      </c>
      <c r="C1544" t="s">
        <v>1509</v>
      </c>
    </row>
    <row r="1545" spans="1:3" x14ac:dyDescent="0.25">
      <c r="A1545" t="str">
        <f>"0611860689050"</f>
        <v>0611860689050</v>
      </c>
      <c r="B1545" t="str">
        <f>"CR2612"</f>
        <v>CR2612</v>
      </c>
      <c r="C1545" t="s">
        <v>1510</v>
      </c>
    </row>
    <row r="1546" spans="1:3" x14ac:dyDescent="0.25">
      <c r="A1546" t="str">
        <f>"0611831800100"</f>
        <v>0611831800100</v>
      </c>
      <c r="B1546" t="str">
        <f>"LB1290"</f>
        <v>LB1290</v>
      </c>
      <c r="C1546" t="s">
        <v>1511</v>
      </c>
    </row>
    <row r="1547" spans="1:3" x14ac:dyDescent="0.25">
      <c r="A1547" t="str">
        <f>"0611831801100"</f>
        <v>0611831801100</v>
      </c>
      <c r="B1547" t="str">
        <f>"LB3089"</f>
        <v>LB3089</v>
      </c>
      <c r="C1547" t="s">
        <v>1512</v>
      </c>
    </row>
    <row r="1548" spans="1:3" x14ac:dyDescent="0.25">
      <c r="A1548" t="str">
        <f>"0611860690050"</f>
        <v>0611860690050</v>
      </c>
      <c r="B1548" t="str">
        <f>"CR4040"</f>
        <v>CR4040</v>
      </c>
      <c r="C1548" t="s">
        <v>1513</v>
      </c>
    </row>
    <row r="1549" spans="1:3" x14ac:dyDescent="0.25">
      <c r="A1549" t="str">
        <f>"0611860691050"</f>
        <v>0611860691050</v>
      </c>
      <c r="B1549" t="str">
        <f>"CR4041"</f>
        <v>CR4041</v>
      </c>
      <c r="C1549" t="s">
        <v>1514</v>
      </c>
    </row>
    <row r="1550" spans="1:3" x14ac:dyDescent="0.25">
      <c r="A1550" t="str">
        <f>"0611860692050"</f>
        <v>0611860692050</v>
      </c>
      <c r="B1550" t="str">
        <f>"CR4042"</f>
        <v>CR4042</v>
      </c>
      <c r="C1550" t="s">
        <v>1515</v>
      </c>
    </row>
    <row r="1551" spans="1:3" x14ac:dyDescent="0.25">
      <c r="A1551" t="str">
        <f>"0611860693050"</f>
        <v>0611860693050</v>
      </c>
      <c r="B1551" t="str">
        <f>"CR5029"</f>
        <v>CR5029</v>
      </c>
      <c r="C1551" t="s">
        <v>1516</v>
      </c>
    </row>
    <row r="1552" spans="1:3" x14ac:dyDescent="0.25">
      <c r="A1552" t="str">
        <f>"0611860694050"</f>
        <v>0611860694050</v>
      </c>
      <c r="B1552" t="str">
        <f>"CR4921"</f>
        <v>CR4921</v>
      </c>
      <c r="C1552" t="s">
        <v>13778</v>
      </c>
    </row>
    <row r="1553" spans="1:3" x14ac:dyDescent="0.25">
      <c r="A1553" t="str">
        <f>"0611860695050"</f>
        <v>0611860695050</v>
      </c>
      <c r="B1553" t="str">
        <f>"CR4043"</f>
        <v>CR4043</v>
      </c>
      <c r="C1553" t="s">
        <v>1517</v>
      </c>
    </row>
    <row r="1554" spans="1:3" x14ac:dyDescent="0.25">
      <c r="A1554" t="str">
        <f>"0611831802100"</f>
        <v>0611831802100</v>
      </c>
      <c r="B1554" t="str">
        <f>"LQ0750"</f>
        <v>LQ0750</v>
      </c>
      <c r="C1554" t="s">
        <v>1518</v>
      </c>
    </row>
    <row r="1555" spans="1:3" x14ac:dyDescent="0.25">
      <c r="A1555" t="str">
        <f>"0611860696050"</f>
        <v>0611860696050</v>
      </c>
      <c r="B1555" t="str">
        <f>"CR4090"</f>
        <v>CR4090</v>
      </c>
      <c r="C1555" t="s">
        <v>1519</v>
      </c>
    </row>
    <row r="1556" spans="1:3" x14ac:dyDescent="0.25">
      <c r="A1556" t="str">
        <f>"0611860697050"</f>
        <v>0611860697050</v>
      </c>
      <c r="B1556" t="str">
        <f>"CE0389"</f>
        <v>CE0389</v>
      </c>
      <c r="C1556" t="s">
        <v>1520</v>
      </c>
    </row>
    <row r="1557" spans="1:3" x14ac:dyDescent="0.25">
      <c r="A1557" t="str">
        <f>"0611831805100"</f>
        <v>0611831805100</v>
      </c>
      <c r="B1557" t="str">
        <f>"MB2730"</f>
        <v>MB2730</v>
      </c>
      <c r="C1557" t="s">
        <v>1521</v>
      </c>
    </row>
    <row r="1558" spans="1:3" x14ac:dyDescent="0.25">
      <c r="A1558" t="str">
        <f>"0611831806100"</f>
        <v>0611831806100</v>
      </c>
      <c r="B1558" t="str">
        <f>"LK0410"</f>
        <v>LK0410</v>
      </c>
      <c r="C1558" t="s">
        <v>1522</v>
      </c>
    </row>
    <row r="1559" spans="1:3" x14ac:dyDescent="0.25">
      <c r="A1559" t="str">
        <f>"0611831810100"</f>
        <v>0611831810100</v>
      </c>
      <c r="B1559" t="str">
        <f>"LL0286"</f>
        <v>LL0286</v>
      </c>
      <c r="C1559" t="s">
        <v>1523</v>
      </c>
    </row>
    <row r="1560" spans="1:3" x14ac:dyDescent="0.25">
      <c r="A1560" t="str">
        <f>"0611831811100"</f>
        <v>0611831811100</v>
      </c>
      <c r="B1560" t="str">
        <f>"LL8157"</f>
        <v>LL8157</v>
      </c>
      <c r="C1560" t="s">
        <v>1524</v>
      </c>
    </row>
    <row r="1561" spans="1:3" x14ac:dyDescent="0.25">
      <c r="A1561" t="str">
        <f>"0611831821100"</f>
        <v>0611831821100</v>
      </c>
      <c r="B1561" t="str">
        <f>"LL0114"</f>
        <v>LL0114</v>
      </c>
      <c r="C1561" t="s">
        <v>1525</v>
      </c>
    </row>
    <row r="1562" spans="1:3" x14ac:dyDescent="0.25">
      <c r="A1562" t="str">
        <f>"0611831827100"</f>
        <v>0611831827100</v>
      </c>
      <c r="B1562" t="str">
        <f>"LL8161"</f>
        <v>LL8161</v>
      </c>
      <c r="C1562" t="s">
        <v>1526</v>
      </c>
    </row>
    <row r="1563" spans="1:3" x14ac:dyDescent="0.25">
      <c r="A1563" t="str">
        <f>"0611831848100"</f>
        <v>0611831848100</v>
      </c>
      <c r="B1563" t="str">
        <f>"LL8162"</f>
        <v>LL8162</v>
      </c>
      <c r="C1563" t="s">
        <v>1527</v>
      </c>
    </row>
    <row r="1564" spans="1:3" x14ac:dyDescent="0.25">
      <c r="A1564" t="str">
        <f>"0611831854100"</f>
        <v>0611831854100</v>
      </c>
      <c r="B1564" t="str">
        <f>"LL0401"</f>
        <v>LL0401</v>
      </c>
      <c r="C1564" t="s">
        <v>1528</v>
      </c>
    </row>
    <row r="1565" spans="1:3" x14ac:dyDescent="0.25">
      <c r="A1565" t="str">
        <f>"0611831862100"</f>
        <v>0611831862100</v>
      </c>
      <c r="B1565" t="str">
        <f>"LL8303"</f>
        <v>LL8303</v>
      </c>
      <c r="C1565" t="s">
        <v>1529</v>
      </c>
    </row>
    <row r="1566" spans="1:3" x14ac:dyDescent="0.25">
      <c r="A1566" t="str">
        <f>"0611831865100"</f>
        <v>0611831865100</v>
      </c>
      <c r="B1566" t="str">
        <f>"LL8163"</f>
        <v>LL8163</v>
      </c>
      <c r="C1566" t="s">
        <v>1530</v>
      </c>
    </row>
    <row r="1567" spans="1:3" x14ac:dyDescent="0.25">
      <c r="A1567" t="str">
        <f>"0611831819100"</f>
        <v>0611831819100</v>
      </c>
      <c r="B1567" t="str">
        <f>"LL0280"</f>
        <v>LL0280</v>
      </c>
      <c r="C1567" t="s">
        <v>1531</v>
      </c>
    </row>
    <row r="1568" spans="1:3" x14ac:dyDescent="0.25">
      <c r="A1568" t="str">
        <f>"0611831820200"</f>
        <v>0611831820200</v>
      </c>
      <c r="B1568" t="str">
        <f>"KY0280"</f>
        <v>KY0280</v>
      </c>
      <c r="C1568" t="s">
        <v>1532</v>
      </c>
    </row>
    <row r="1569" spans="1:3" x14ac:dyDescent="0.25">
      <c r="A1569" t="str">
        <f>"0611831882100"</f>
        <v>0611831882100</v>
      </c>
      <c r="B1569" t="str">
        <f>"LL0320"</f>
        <v>LL0320</v>
      </c>
      <c r="C1569" t="s">
        <v>1533</v>
      </c>
    </row>
    <row r="1570" spans="1:3" x14ac:dyDescent="0.25">
      <c r="A1570" t="str">
        <f>"0611831883100"</f>
        <v>0611831883100</v>
      </c>
      <c r="B1570" t="str">
        <f>"LL0402"</f>
        <v>LL0402</v>
      </c>
      <c r="C1570" t="s">
        <v>1534</v>
      </c>
    </row>
    <row r="1571" spans="1:3" x14ac:dyDescent="0.25">
      <c r="A1571" t="str">
        <f>"0611831884100"</f>
        <v>0611831884100</v>
      </c>
      <c r="B1571" t="str">
        <f>"LL8164"</f>
        <v>LL8164</v>
      </c>
      <c r="C1571" t="s">
        <v>1535</v>
      </c>
    </row>
    <row r="1572" spans="1:3" x14ac:dyDescent="0.25">
      <c r="A1572" t="str">
        <f>"0611831891100"</f>
        <v>0611831891100</v>
      </c>
      <c r="B1572" t="str">
        <f>"LL8165"</f>
        <v>LL8165</v>
      </c>
      <c r="C1572" t="s">
        <v>1536</v>
      </c>
    </row>
    <row r="1573" spans="1:3" x14ac:dyDescent="0.25">
      <c r="A1573" t="str">
        <f>"0611831892100"</f>
        <v>0611831892100</v>
      </c>
      <c r="B1573" t="str">
        <f>"LL0330"</f>
        <v>LL0330</v>
      </c>
      <c r="C1573" t="s">
        <v>1537</v>
      </c>
    </row>
    <row r="1574" spans="1:3" x14ac:dyDescent="0.25">
      <c r="A1574" t="str">
        <f>"0611831923100"</f>
        <v>0611831923100</v>
      </c>
      <c r="B1574" t="str">
        <f>"LL0345"</f>
        <v>LL0345</v>
      </c>
      <c r="C1574" t="s">
        <v>1538</v>
      </c>
    </row>
    <row r="1575" spans="1:3" x14ac:dyDescent="0.25">
      <c r="A1575" t="str">
        <f>"0611831934100"</f>
        <v>0611831934100</v>
      </c>
      <c r="B1575" t="str">
        <f>"LL0350"</f>
        <v>LL0350</v>
      </c>
      <c r="C1575" t="s">
        <v>1539</v>
      </c>
    </row>
    <row r="1576" spans="1:3" x14ac:dyDescent="0.25">
      <c r="A1576" t="str">
        <f>"0611831935200"</f>
        <v>0611831935200</v>
      </c>
      <c r="B1576" t="str">
        <f>"KY0350"</f>
        <v>KY0350</v>
      </c>
      <c r="C1576" t="s">
        <v>1540</v>
      </c>
    </row>
    <row r="1577" spans="1:3" x14ac:dyDescent="0.25">
      <c r="A1577" t="str">
        <f>"0611906670100"</f>
        <v>0611906670100</v>
      </c>
      <c r="B1577" t="str">
        <f>"LL8345"</f>
        <v>LL8345</v>
      </c>
      <c r="C1577" t="s">
        <v>1541</v>
      </c>
    </row>
    <row r="1578" spans="1:3" x14ac:dyDescent="0.25">
      <c r="A1578" t="str">
        <f>"0611906671100"</f>
        <v>0611906671100</v>
      </c>
      <c r="B1578" t="str">
        <f>"LL8346"</f>
        <v>LL8346</v>
      </c>
      <c r="C1578" t="s">
        <v>1542</v>
      </c>
    </row>
    <row r="1579" spans="1:3" x14ac:dyDescent="0.25">
      <c r="A1579" t="str">
        <f>"0611831982100"</f>
        <v>0611831982100</v>
      </c>
      <c r="B1579" t="str">
        <f>"LL0400"</f>
        <v>LL0400</v>
      </c>
      <c r="C1579" t="s">
        <v>1543</v>
      </c>
    </row>
    <row r="1580" spans="1:3" x14ac:dyDescent="0.25">
      <c r="A1580" t="str">
        <f>"0611831991100"</f>
        <v>0611831991100</v>
      </c>
      <c r="B1580" t="str">
        <f>"LG0990"</f>
        <v>LG0990</v>
      </c>
      <c r="C1580" t="s">
        <v>1544</v>
      </c>
    </row>
    <row r="1581" spans="1:3" x14ac:dyDescent="0.25">
      <c r="A1581" t="str">
        <f>"0611831992100"</f>
        <v>0611831992100</v>
      </c>
      <c r="B1581" t="str">
        <f>"LB1315"</f>
        <v>LB1315</v>
      </c>
      <c r="C1581" t="s">
        <v>1545</v>
      </c>
    </row>
    <row r="1582" spans="1:3" x14ac:dyDescent="0.25">
      <c r="A1582" t="str">
        <f>"0611831993100"</f>
        <v>0611831993100</v>
      </c>
      <c r="B1582" t="str">
        <f>"LB1316"</f>
        <v>LB1316</v>
      </c>
      <c r="C1582" t="s">
        <v>1546</v>
      </c>
    </row>
    <row r="1583" spans="1:3" x14ac:dyDescent="0.25">
      <c r="A1583" t="str">
        <f>"0611856844025"</f>
        <v>0611856844025</v>
      </c>
      <c r="B1583" t="str">
        <f>"MQ0758"</f>
        <v>MQ0758</v>
      </c>
      <c r="C1583" t="s">
        <v>1547</v>
      </c>
    </row>
    <row r="1584" spans="1:3" x14ac:dyDescent="0.25">
      <c r="A1584" t="str">
        <f>"0611884057025"</f>
        <v>0611884057025</v>
      </c>
      <c r="B1584" t="str">
        <f>"MQ0820"</f>
        <v>MQ0820</v>
      </c>
      <c r="C1584" t="s">
        <v>1548</v>
      </c>
    </row>
    <row r="1585" spans="1:3" x14ac:dyDescent="0.25">
      <c r="A1585" t="str">
        <f>"0611831996025"</f>
        <v>0611831996025</v>
      </c>
      <c r="B1585" t="str">
        <f>"MC1804"</f>
        <v>MC1804</v>
      </c>
      <c r="C1585" t="s">
        <v>1549</v>
      </c>
    </row>
    <row r="1586" spans="1:3" x14ac:dyDescent="0.25">
      <c r="A1586" t="str">
        <f>"0611831997025"</f>
        <v>0611831997025</v>
      </c>
      <c r="B1586" t="str">
        <f>"MC0144"</f>
        <v>MC0144</v>
      </c>
      <c r="C1586" t="s">
        <v>1550</v>
      </c>
    </row>
    <row r="1587" spans="1:3" x14ac:dyDescent="0.25">
      <c r="A1587" t="str">
        <f>"0611884058025"</f>
        <v>0611884058025</v>
      </c>
      <c r="B1587" t="str">
        <f>"MQ0821"</f>
        <v>MQ0821</v>
      </c>
      <c r="C1587" t="s">
        <v>1551</v>
      </c>
    </row>
    <row r="1588" spans="1:3" x14ac:dyDescent="0.25">
      <c r="A1588" t="str">
        <f>"0611831822100"</f>
        <v>0611831822100</v>
      </c>
      <c r="B1588" t="str">
        <f>"LL0445"</f>
        <v>LL0445</v>
      </c>
      <c r="C1588" t="s">
        <v>12015</v>
      </c>
    </row>
    <row r="1589" spans="1:3" x14ac:dyDescent="0.25">
      <c r="A1589" t="str">
        <f>"0611831823200"</f>
        <v>0611831823200</v>
      </c>
      <c r="B1589" t="str">
        <f>"KY0445"</f>
        <v>KY0445</v>
      </c>
      <c r="C1589" t="s">
        <v>12016</v>
      </c>
    </row>
    <row r="1590" spans="1:3" x14ac:dyDescent="0.25">
      <c r="A1590" t="str">
        <f>"0611831886100"</f>
        <v>0611831886100</v>
      </c>
      <c r="B1590" t="str">
        <f>"LL8166"</f>
        <v>LL8166</v>
      </c>
      <c r="C1590" t="s">
        <v>1552</v>
      </c>
    </row>
    <row r="1591" spans="1:3" x14ac:dyDescent="0.25">
      <c r="A1591" t="str">
        <f>"0611831889100"</f>
        <v>0611831889100</v>
      </c>
      <c r="B1591" t="str">
        <f>"LL8136"</f>
        <v>LL8136</v>
      </c>
      <c r="C1591" t="s">
        <v>1553</v>
      </c>
    </row>
    <row r="1592" spans="1:3" x14ac:dyDescent="0.25">
      <c r="A1592" t="str">
        <f>"0611831893100"</f>
        <v>0611831893100</v>
      </c>
      <c r="B1592" t="str">
        <f>"LL0490"</f>
        <v>LL0490</v>
      </c>
      <c r="C1592" t="s">
        <v>1554</v>
      </c>
    </row>
    <row r="1593" spans="1:3" x14ac:dyDescent="0.25">
      <c r="A1593" t="str">
        <f>"0611831894100"</f>
        <v>0611831894100</v>
      </c>
      <c r="B1593" t="str">
        <f>"LL0492"</f>
        <v>LL0492</v>
      </c>
      <c r="C1593" t="s">
        <v>1555</v>
      </c>
    </row>
    <row r="1594" spans="1:3" x14ac:dyDescent="0.25">
      <c r="A1594" t="str">
        <f>"0611831906100"</f>
        <v>0611831906100</v>
      </c>
      <c r="B1594" t="str">
        <f>"LL0530"</f>
        <v>LL0530</v>
      </c>
      <c r="C1594" t="s">
        <v>1556</v>
      </c>
    </row>
    <row r="1595" spans="1:3" x14ac:dyDescent="0.25">
      <c r="A1595" t="str">
        <f>"0611831946100"</f>
        <v>0611831946100</v>
      </c>
      <c r="B1595" t="str">
        <f>"LL0153"</f>
        <v>LL0153</v>
      </c>
      <c r="C1595" t="s">
        <v>1557</v>
      </c>
    </row>
    <row r="1596" spans="1:3" x14ac:dyDescent="0.25">
      <c r="A1596" t="str">
        <f>"0611831998025"</f>
        <v>0611831998025</v>
      </c>
      <c r="B1596" t="str">
        <f>"MC0145"</f>
        <v>MC0145</v>
      </c>
      <c r="C1596" t="s">
        <v>1558</v>
      </c>
    </row>
    <row r="1597" spans="1:3" x14ac:dyDescent="0.25">
      <c r="A1597" t="str">
        <f>"0611860700050"</f>
        <v>0611860700050</v>
      </c>
      <c r="B1597" t="str">
        <f>"CR4204"</f>
        <v>CR4204</v>
      </c>
      <c r="C1597" t="s">
        <v>1559</v>
      </c>
    </row>
    <row r="1598" spans="1:3" x14ac:dyDescent="0.25">
      <c r="A1598" t="str">
        <f>"0611831999100"</f>
        <v>0611831999100</v>
      </c>
      <c r="B1598" t="str">
        <f>"LH1502"</f>
        <v>LH1502</v>
      </c>
      <c r="C1598" t="s">
        <v>1560</v>
      </c>
    </row>
    <row r="1599" spans="1:3" x14ac:dyDescent="0.25">
      <c r="A1599" t="str">
        <f>"0611832000025"</f>
        <v>0611832000025</v>
      </c>
      <c r="B1599" t="str">
        <f>"MC0148"</f>
        <v>MC0148</v>
      </c>
      <c r="C1599" t="s">
        <v>1561</v>
      </c>
    </row>
    <row r="1600" spans="1:3" x14ac:dyDescent="0.25">
      <c r="A1600" t="str">
        <f>"0611856845025"</f>
        <v>0611856845025</v>
      </c>
      <c r="B1600" t="str">
        <f>"MQ0759"</f>
        <v>MQ0759</v>
      </c>
      <c r="C1600" t="s">
        <v>1562</v>
      </c>
    </row>
    <row r="1601" spans="1:3" x14ac:dyDescent="0.25">
      <c r="A1601" t="str">
        <f>"0611832001025"</f>
        <v>0611832001025</v>
      </c>
      <c r="B1601" t="str">
        <f>"MQ0156"</f>
        <v>MQ0156</v>
      </c>
      <c r="C1601" t="s">
        <v>1563</v>
      </c>
    </row>
    <row r="1602" spans="1:3" x14ac:dyDescent="0.25">
      <c r="A1602" t="str">
        <f>"0611860701050"</f>
        <v>0611860701050</v>
      </c>
      <c r="B1602" t="str">
        <f>"CR4200"</f>
        <v>CR4200</v>
      </c>
      <c r="C1602" t="s">
        <v>1564</v>
      </c>
    </row>
    <row r="1603" spans="1:3" x14ac:dyDescent="0.25">
      <c r="A1603" t="str">
        <f>"0611832002025"</f>
        <v>0611832002025</v>
      </c>
      <c r="B1603" t="str">
        <f>"MQ3046"</f>
        <v>MQ3046</v>
      </c>
      <c r="C1603" t="s">
        <v>1565</v>
      </c>
    </row>
    <row r="1604" spans="1:3" x14ac:dyDescent="0.25">
      <c r="A1604" t="str">
        <f>"0611832003025"</f>
        <v>0611832003025</v>
      </c>
      <c r="B1604" t="str">
        <f>"MQ3047"</f>
        <v>MQ3047</v>
      </c>
      <c r="C1604" t="s">
        <v>1566</v>
      </c>
    </row>
    <row r="1605" spans="1:3" x14ac:dyDescent="0.25">
      <c r="A1605" t="str">
        <f>"0611906672025"</f>
        <v>0611906672025</v>
      </c>
      <c r="B1605" t="str">
        <f>"MQ3048"</f>
        <v>MQ3048</v>
      </c>
      <c r="C1605" t="s">
        <v>1568</v>
      </c>
    </row>
    <row r="1606" spans="1:3" x14ac:dyDescent="0.25">
      <c r="A1606" t="str">
        <f>"0611860702050"</f>
        <v>0611860702050</v>
      </c>
      <c r="B1606" t="str">
        <f>"CR4201"</f>
        <v>CR4201</v>
      </c>
      <c r="C1606" t="s">
        <v>1567</v>
      </c>
    </row>
    <row r="1607" spans="1:3" x14ac:dyDescent="0.25">
      <c r="A1607" t="str">
        <f>"0611832005025"</f>
        <v>0611832005025</v>
      </c>
      <c r="B1607" t="str">
        <f>"MQ3049"</f>
        <v>MQ3049</v>
      </c>
      <c r="C1607" t="s">
        <v>1569</v>
      </c>
    </row>
    <row r="1608" spans="1:3" x14ac:dyDescent="0.25">
      <c r="A1608" t="str">
        <f>"0611860703050"</f>
        <v>0611860703050</v>
      </c>
      <c r="B1608" t="str">
        <f>"CR4202"</f>
        <v>CR4202</v>
      </c>
      <c r="C1608" t="s">
        <v>1570</v>
      </c>
    </row>
    <row r="1609" spans="1:3" x14ac:dyDescent="0.25">
      <c r="A1609" t="str">
        <f>"0611832006025"</f>
        <v>0611832006025</v>
      </c>
      <c r="B1609" t="str">
        <f>"MQ3050"</f>
        <v>MQ3050</v>
      </c>
      <c r="C1609" t="s">
        <v>1571</v>
      </c>
    </row>
    <row r="1610" spans="1:3" x14ac:dyDescent="0.25">
      <c r="A1610" t="str">
        <f>"0611832007025"</f>
        <v>0611832007025</v>
      </c>
      <c r="B1610" t="str">
        <f>"MQ3051"</f>
        <v>MQ3051</v>
      </c>
      <c r="C1610" t="s">
        <v>1572</v>
      </c>
    </row>
    <row r="1611" spans="1:3" x14ac:dyDescent="0.25">
      <c r="A1611" t="str">
        <f>"0611860704050"</f>
        <v>0611860704050</v>
      </c>
      <c r="B1611" t="str">
        <f>"CR4203"</f>
        <v>CR4203</v>
      </c>
      <c r="C1611" t="s">
        <v>1573</v>
      </c>
    </row>
    <row r="1612" spans="1:3" x14ac:dyDescent="0.25">
      <c r="A1612" t="str">
        <f>"0611860705100"</f>
        <v>0611860705100</v>
      </c>
      <c r="B1612" t="str">
        <f>"CN2344"</f>
        <v>CN2344</v>
      </c>
      <c r="C1612" t="s">
        <v>1574</v>
      </c>
    </row>
    <row r="1613" spans="1:3" x14ac:dyDescent="0.25">
      <c r="A1613" t="str">
        <f>"0611832009025"</f>
        <v>0611832009025</v>
      </c>
      <c r="B1613" t="str">
        <f>"MQ0158"</f>
        <v>MQ0158</v>
      </c>
      <c r="C1613" t="s">
        <v>1575</v>
      </c>
    </row>
    <row r="1614" spans="1:3" x14ac:dyDescent="0.25">
      <c r="A1614" t="str">
        <f>"0611832010025"</f>
        <v>0611832010025</v>
      </c>
      <c r="B1614" t="str">
        <f>"MQ0687"</f>
        <v>MQ0687</v>
      </c>
      <c r="C1614" t="s">
        <v>1576</v>
      </c>
    </row>
    <row r="1615" spans="1:3" x14ac:dyDescent="0.25">
      <c r="A1615" t="str">
        <f>"0611832011025"</f>
        <v>0611832011025</v>
      </c>
      <c r="B1615" t="str">
        <f>"MQ0688"</f>
        <v>MQ0688</v>
      </c>
      <c r="C1615" t="s">
        <v>1577</v>
      </c>
    </row>
    <row r="1616" spans="1:3" x14ac:dyDescent="0.25">
      <c r="A1616" t="str">
        <f>"0611832012025"</f>
        <v>0611832012025</v>
      </c>
      <c r="B1616" t="str">
        <f>"MQ0689"</f>
        <v>MQ0689</v>
      </c>
      <c r="C1616" t="s">
        <v>1578</v>
      </c>
    </row>
    <row r="1617" spans="1:3" x14ac:dyDescent="0.25">
      <c r="A1617" t="str">
        <f>"0611832013025"</f>
        <v>0611832013025</v>
      </c>
      <c r="B1617" t="str">
        <f>"MQ0690"</f>
        <v>MQ0690</v>
      </c>
      <c r="C1617" t="s">
        <v>1579</v>
      </c>
    </row>
    <row r="1618" spans="1:3" x14ac:dyDescent="0.25">
      <c r="A1618" t="str">
        <f>"0611906673025"</f>
        <v>0611906673025</v>
      </c>
      <c r="B1618" t="str">
        <f>"MQ7575"</f>
        <v>MQ7575</v>
      </c>
      <c r="C1618" t="s">
        <v>1580</v>
      </c>
    </row>
    <row r="1619" spans="1:3" x14ac:dyDescent="0.25">
      <c r="A1619" t="str">
        <f>"0611832014025"</f>
        <v>0611832014025</v>
      </c>
      <c r="B1619" t="str">
        <f>"MQ0691"</f>
        <v>MQ0691</v>
      </c>
      <c r="C1619" t="s">
        <v>1581</v>
      </c>
    </row>
    <row r="1620" spans="1:3" x14ac:dyDescent="0.25">
      <c r="A1620" t="str">
        <f>"0611832015025"</f>
        <v>0611832015025</v>
      </c>
      <c r="B1620" t="str">
        <f>"MQ0692"</f>
        <v>MQ0692</v>
      </c>
      <c r="C1620" t="s">
        <v>1582</v>
      </c>
    </row>
    <row r="1621" spans="1:3" x14ac:dyDescent="0.25">
      <c r="A1621" t="str">
        <f>"0611832017025"</f>
        <v>0611832017025</v>
      </c>
      <c r="B1621" t="str">
        <f>"MQ0587"</f>
        <v>MQ0587</v>
      </c>
      <c r="C1621" t="s">
        <v>1583</v>
      </c>
    </row>
    <row r="1622" spans="1:3" x14ac:dyDescent="0.25">
      <c r="A1622" t="str">
        <f>"0611832018025"</f>
        <v>0611832018025</v>
      </c>
      <c r="B1622" t="str">
        <f>"MQ0693"</f>
        <v>MQ0693</v>
      </c>
      <c r="C1622" t="s">
        <v>1584</v>
      </c>
    </row>
    <row r="1623" spans="1:3" x14ac:dyDescent="0.25">
      <c r="A1623" t="str">
        <f>"0611856846025"</f>
        <v>0611856846025</v>
      </c>
      <c r="B1623" t="str">
        <f>"MQ0760"</f>
        <v>MQ0760</v>
      </c>
      <c r="C1623" t="s">
        <v>1585</v>
      </c>
    </row>
    <row r="1624" spans="1:3" x14ac:dyDescent="0.25">
      <c r="A1624" t="str">
        <f>"0611832019025"</f>
        <v>0611832019025</v>
      </c>
      <c r="B1624" t="str">
        <f>"MQ6006"</f>
        <v>MQ6006</v>
      </c>
      <c r="C1624" t="s">
        <v>1586</v>
      </c>
    </row>
    <row r="1625" spans="1:3" x14ac:dyDescent="0.25">
      <c r="A1625" t="str">
        <f>"0611832020025"</f>
        <v>0611832020025</v>
      </c>
      <c r="B1625" t="str">
        <f>"MQ0588"</f>
        <v>MQ0588</v>
      </c>
      <c r="C1625" t="s">
        <v>1587</v>
      </c>
    </row>
    <row r="1626" spans="1:3" x14ac:dyDescent="0.25">
      <c r="A1626" t="str">
        <f>"0611856847025"</f>
        <v>0611856847025</v>
      </c>
      <c r="B1626" t="str">
        <f>"MQ0761"</f>
        <v>MQ0761</v>
      </c>
      <c r="C1626" t="s">
        <v>1588</v>
      </c>
    </row>
    <row r="1627" spans="1:3" x14ac:dyDescent="0.25">
      <c r="A1627" t="str">
        <f>"0611856848025"</f>
        <v>0611856848025</v>
      </c>
      <c r="B1627" t="str">
        <f>"MQ0762"</f>
        <v>MQ0762</v>
      </c>
      <c r="C1627" t="s">
        <v>1589</v>
      </c>
    </row>
    <row r="1628" spans="1:3" x14ac:dyDescent="0.25">
      <c r="A1628" t="str">
        <f>"0611893340100"</f>
        <v>0611893340100</v>
      </c>
      <c r="B1628" t="str">
        <f>"CN5468"</f>
        <v>CN5468</v>
      </c>
      <c r="C1628" t="s">
        <v>1590</v>
      </c>
    </row>
    <row r="1629" spans="1:3" x14ac:dyDescent="0.25">
      <c r="A1629" t="str">
        <f>"0611893341100"</f>
        <v>0611893341100</v>
      </c>
      <c r="B1629" t="str">
        <f>"CN5467"</f>
        <v>CN5467</v>
      </c>
      <c r="C1629" t="s">
        <v>1591</v>
      </c>
    </row>
    <row r="1630" spans="1:3" x14ac:dyDescent="0.25">
      <c r="A1630" t="str">
        <f>"0611893342100"</f>
        <v>0611893342100</v>
      </c>
      <c r="B1630" t="str">
        <f>"CN5466"</f>
        <v>CN5466</v>
      </c>
      <c r="C1630" t="s">
        <v>1592</v>
      </c>
    </row>
    <row r="1631" spans="1:3" x14ac:dyDescent="0.25">
      <c r="A1631" t="str">
        <f>"0611893343100"</f>
        <v>0611893343100</v>
      </c>
      <c r="B1631" t="str">
        <f>"CN5465"</f>
        <v>CN5465</v>
      </c>
      <c r="C1631" t="s">
        <v>1593</v>
      </c>
    </row>
    <row r="1632" spans="1:3" x14ac:dyDescent="0.25">
      <c r="A1632" t="str">
        <f>"0611893344100"</f>
        <v>0611893344100</v>
      </c>
      <c r="B1632" t="str">
        <f>"CN5469"</f>
        <v>CN5469</v>
      </c>
      <c r="C1632" t="s">
        <v>1594</v>
      </c>
    </row>
    <row r="1633" spans="1:3" x14ac:dyDescent="0.25">
      <c r="A1633" t="str">
        <f>"0611906674025"</f>
        <v>0611906674025</v>
      </c>
      <c r="B1633" t="str">
        <f>"MQ7576"</f>
        <v>MQ7576</v>
      </c>
      <c r="C1633" t="s">
        <v>1595</v>
      </c>
    </row>
    <row r="1634" spans="1:3" x14ac:dyDescent="0.25">
      <c r="A1634" t="str">
        <f>"0611832021025"</f>
        <v>0611832021025</v>
      </c>
      <c r="B1634" t="str">
        <f>"MC0149"</f>
        <v>MC0149</v>
      </c>
      <c r="C1634" t="s">
        <v>1596</v>
      </c>
    </row>
    <row r="1635" spans="1:3" x14ac:dyDescent="0.25">
      <c r="A1635" t="str">
        <f>"0611860706050"</f>
        <v>0611860706050</v>
      </c>
      <c r="B1635" t="str">
        <f>"CR4205"</f>
        <v>CR4205</v>
      </c>
      <c r="C1635" t="s">
        <v>1597</v>
      </c>
    </row>
    <row r="1636" spans="1:3" x14ac:dyDescent="0.25">
      <c r="A1636" t="str">
        <f>"0611832022025"</f>
        <v>0611832022025</v>
      </c>
      <c r="B1636" t="str">
        <f>"MC1519"</f>
        <v>MC1519</v>
      </c>
      <c r="C1636" t="s">
        <v>1598</v>
      </c>
    </row>
    <row r="1637" spans="1:3" x14ac:dyDescent="0.25">
      <c r="A1637" t="str">
        <f>"0611860707050"</f>
        <v>0611860707050</v>
      </c>
      <c r="B1637" t="str">
        <f>"CR4207"</f>
        <v>CR4207</v>
      </c>
      <c r="C1637" t="s">
        <v>1599</v>
      </c>
    </row>
    <row r="1638" spans="1:3" x14ac:dyDescent="0.25">
      <c r="A1638" t="str">
        <f>"0611856849025"</f>
        <v>0611856849025</v>
      </c>
      <c r="B1638" t="str">
        <f>"MQ0763"</f>
        <v>MQ0763</v>
      </c>
      <c r="C1638" t="s">
        <v>1600</v>
      </c>
    </row>
    <row r="1639" spans="1:3" x14ac:dyDescent="0.25">
      <c r="A1639" t="str">
        <f>"0611832023025"</f>
        <v>0611832023025</v>
      </c>
      <c r="B1639" t="str">
        <f>"MC0146"</f>
        <v>MC0146</v>
      </c>
      <c r="C1639" t="s">
        <v>1601</v>
      </c>
    </row>
    <row r="1640" spans="1:3" x14ac:dyDescent="0.25">
      <c r="A1640" t="str">
        <f>"0611856850025"</f>
        <v>0611856850025</v>
      </c>
      <c r="B1640" t="str">
        <f>"MQ0764"</f>
        <v>MQ0764</v>
      </c>
      <c r="C1640" t="s">
        <v>1602</v>
      </c>
    </row>
    <row r="1641" spans="1:3" x14ac:dyDescent="0.25">
      <c r="A1641" t="str">
        <f>"0611832024025"</f>
        <v>0611832024025</v>
      </c>
      <c r="B1641" t="str">
        <f>"MC1073"</f>
        <v>MC1073</v>
      </c>
      <c r="C1641" t="s">
        <v>1603</v>
      </c>
    </row>
    <row r="1642" spans="1:3" x14ac:dyDescent="0.25">
      <c r="A1642" t="str">
        <f>"0611860708050"</f>
        <v>0611860708050</v>
      </c>
      <c r="B1642" t="str">
        <f>"CR4206"</f>
        <v>CR4206</v>
      </c>
      <c r="C1642" t="s">
        <v>1604</v>
      </c>
    </row>
    <row r="1643" spans="1:3" x14ac:dyDescent="0.25">
      <c r="A1643" t="str">
        <f>"0611832025025"</f>
        <v>0611832025025</v>
      </c>
      <c r="B1643" t="str">
        <f>"MQ0694"</f>
        <v>MQ0694</v>
      </c>
      <c r="C1643" t="s">
        <v>1605</v>
      </c>
    </row>
    <row r="1644" spans="1:3" x14ac:dyDescent="0.25">
      <c r="A1644" t="str">
        <f>"0611832026025"</f>
        <v>0611832026025</v>
      </c>
      <c r="B1644" t="str">
        <f>"MQ0695"</f>
        <v>MQ0695</v>
      </c>
      <c r="C1644" t="s">
        <v>1606</v>
      </c>
    </row>
    <row r="1645" spans="1:3" x14ac:dyDescent="0.25">
      <c r="A1645" t="str">
        <f>"0611831808100"</f>
        <v>0611831808100</v>
      </c>
      <c r="B1645" t="str">
        <f>"LL0605"</f>
        <v>LL0605</v>
      </c>
      <c r="C1645" t="s">
        <v>1607</v>
      </c>
    </row>
    <row r="1646" spans="1:3" x14ac:dyDescent="0.25">
      <c r="A1646" t="str">
        <f>"0611831814100"</f>
        <v>0611831814100</v>
      </c>
      <c r="B1646" t="str">
        <f>"LL8168"</f>
        <v>LL8168</v>
      </c>
      <c r="C1646" t="s">
        <v>1608</v>
      </c>
    </row>
    <row r="1647" spans="1:3" x14ac:dyDescent="0.25">
      <c r="A1647" t="str">
        <f>"0611831815100"</f>
        <v>0611831815100</v>
      </c>
      <c r="B1647" t="str">
        <f>"LL8169"</f>
        <v>LL8169</v>
      </c>
      <c r="C1647" t="s">
        <v>1609</v>
      </c>
    </row>
    <row r="1648" spans="1:3" x14ac:dyDescent="0.25">
      <c r="A1648" t="str">
        <f>"0611831817100"</f>
        <v>0611831817100</v>
      </c>
      <c r="B1648" t="str">
        <f>"LL0634"</f>
        <v>LL0634</v>
      </c>
      <c r="C1648" t="s">
        <v>1610</v>
      </c>
    </row>
    <row r="1649" spans="1:3" x14ac:dyDescent="0.25">
      <c r="A1649" t="str">
        <f>"0611831831100"</f>
        <v>0611831831100</v>
      </c>
      <c r="B1649" t="str">
        <f>"LL0609"</f>
        <v>LL0609</v>
      </c>
      <c r="C1649" t="s">
        <v>1611</v>
      </c>
    </row>
    <row r="1650" spans="1:3" x14ac:dyDescent="0.25">
      <c r="A1650" t="str">
        <f>"0611831834100"</f>
        <v>0611831834100</v>
      </c>
      <c r="B1650" t="str">
        <f>"LL8208"</f>
        <v>LL8208</v>
      </c>
      <c r="C1650" t="s">
        <v>1612</v>
      </c>
    </row>
    <row r="1651" spans="1:3" x14ac:dyDescent="0.25">
      <c r="A1651" t="str">
        <f>"0611831835100"</f>
        <v>0611831835100</v>
      </c>
      <c r="B1651" t="str">
        <f>"LL0002"</f>
        <v>LL0002</v>
      </c>
      <c r="C1651" t="s">
        <v>1613</v>
      </c>
    </row>
    <row r="1652" spans="1:3" x14ac:dyDescent="0.25">
      <c r="A1652" t="str">
        <f>"0611831841100"</f>
        <v>0611831841100</v>
      </c>
      <c r="B1652" t="str">
        <f>"LL0610"</f>
        <v>LL0610</v>
      </c>
      <c r="C1652" t="s">
        <v>1615</v>
      </c>
    </row>
    <row r="1653" spans="1:3" x14ac:dyDescent="0.25">
      <c r="A1653" t="str">
        <f>"0611831842100"</f>
        <v>0611831842100</v>
      </c>
      <c r="B1653" t="str">
        <f>"LL0613"</f>
        <v>LL0613</v>
      </c>
      <c r="C1653" t="s">
        <v>1616</v>
      </c>
    </row>
    <row r="1654" spans="1:3" x14ac:dyDescent="0.25">
      <c r="A1654" t="str">
        <f>"0611831847100"</f>
        <v>0611831847100</v>
      </c>
      <c r="B1654" t="str">
        <f>"LL0623"</f>
        <v>LL0623</v>
      </c>
      <c r="C1654" t="s">
        <v>1617</v>
      </c>
    </row>
    <row r="1655" spans="1:3" x14ac:dyDescent="0.25">
      <c r="A1655" t="str">
        <f>"0611831849100"</f>
        <v>0611831849100</v>
      </c>
      <c r="B1655" t="str">
        <f>"LL0626"</f>
        <v>LL0626</v>
      </c>
      <c r="C1655" t="s">
        <v>1618</v>
      </c>
    </row>
    <row r="1656" spans="1:3" x14ac:dyDescent="0.25">
      <c r="A1656" t="str">
        <f>"0611831850100"</f>
        <v>0611831850100</v>
      </c>
      <c r="B1656" t="str">
        <f>"LL0627"</f>
        <v>LL0627</v>
      </c>
      <c r="C1656" t="s">
        <v>1619</v>
      </c>
    </row>
    <row r="1657" spans="1:3" x14ac:dyDescent="0.25">
      <c r="A1657" t="str">
        <f>"0611831853100"</f>
        <v>0611831853100</v>
      </c>
      <c r="B1657" t="str">
        <f>"LL0633"</f>
        <v>LL0633</v>
      </c>
      <c r="C1657" t="s">
        <v>1620</v>
      </c>
    </row>
    <row r="1658" spans="1:3" x14ac:dyDescent="0.25">
      <c r="A1658" t="str">
        <f>"0611831855100"</f>
        <v>0611831855100</v>
      </c>
      <c r="B1658" t="str">
        <f>"LL0635"</f>
        <v>LL0635</v>
      </c>
      <c r="C1658" t="s">
        <v>1621</v>
      </c>
    </row>
    <row r="1659" spans="1:3" x14ac:dyDescent="0.25">
      <c r="A1659" t="str">
        <f>"0611831856100"</f>
        <v>0611831856100</v>
      </c>
      <c r="B1659" t="str">
        <f>"LL0638"</f>
        <v>LL0638</v>
      </c>
      <c r="C1659" t="s">
        <v>1622</v>
      </c>
    </row>
    <row r="1660" spans="1:3" x14ac:dyDescent="0.25">
      <c r="A1660" t="str">
        <f>"0611831861100"</f>
        <v>0611831861100</v>
      </c>
      <c r="B1660" t="str">
        <f>"LL0640"</f>
        <v>LL0640</v>
      </c>
      <c r="C1660" t="s">
        <v>1623</v>
      </c>
    </row>
    <row r="1661" spans="1:3" x14ac:dyDescent="0.25">
      <c r="A1661" t="str">
        <f>"0611831866100"</f>
        <v>0611831866100</v>
      </c>
      <c r="B1661" t="str">
        <f>"LL8170"</f>
        <v>LL8170</v>
      </c>
      <c r="C1661" t="s">
        <v>1624</v>
      </c>
    </row>
    <row r="1662" spans="1:3" x14ac:dyDescent="0.25">
      <c r="A1662" t="str">
        <f>"0611831824100"</f>
        <v>0611831824100</v>
      </c>
      <c r="B1662" t="str">
        <f>"LL0600"</f>
        <v>LL0600</v>
      </c>
      <c r="C1662" t="s">
        <v>1625</v>
      </c>
    </row>
    <row r="1663" spans="1:3" x14ac:dyDescent="0.25">
      <c r="A1663" t="str">
        <f>"0611831825200"</f>
        <v>0611831825200</v>
      </c>
      <c r="B1663" t="str">
        <f>"KY0600"</f>
        <v>KY0600</v>
      </c>
      <c r="C1663" t="s">
        <v>1626</v>
      </c>
    </row>
    <row r="1664" spans="1:3" x14ac:dyDescent="0.25">
      <c r="A1664" t="str">
        <f>"0611831874100"</f>
        <v>0611831874100</v>
      </c>
      <c r="B1664" t="str">
        <f>"LL0662"</f>
        <v>LL0662</v>
      </c>
      <c r="C1664" t="s">
        <v>1627</v>
      </c>
    </row>
    <row r="1665" spans="1:3" x14ac:dyDescent="0.25">
      <c r="A1665" t="str">
        <f>"0611831875100"</f>
        <v>0611831875100</v>
      </c>
      <c r="B1665" t="str">
        <f>"LL0670"</f>
        <v>LL0670</v>
      </c>
      <c r="C1665" t="s">
        <v>1628</v>
      </c>
    </row>
    <row r="1666" spans="1:3" x14ac:dyDescent="0.25">
      <c r="A1666" t="str">
        <f>"0611831876100"</f>
        <v>0611831876100</v>
      </c>
      <c r="B1666" t="str">
        <f>"LL2872"</f>
        <v>LL2872</v>
      </c>
      <c r="C1666" t="s">
        <v>1614</v>
      </c>
    </row>
    <row r="1667" spans="1:3" x14ac:dyDescent="0.25">
      <c r="A1667" t="str">
        <f>"0611831885100"</f>
        <v>0611831885100</v>
      </c>
      <c r="B1667" t="str">
        <f>"LL8171"</f>
        <v>LL8171</v>
      </c>
      <c r="C1667" t="s">
        <v>1629</v>
      </c>
    </row>
    <row r="1668" spans="1:3" x14ac:dyDescent="0.25">
      <c r="A1668" t="str">
        <f>"0611831887100"</f>
        <v>0611831887100</v>
      </c>
      <c r="B1668" t="str">
        <f>"LL0154"</f>
        <v>LL0154</v>
      </c>
      <c r="C1668" t="s">
        <v>1630</v>
      </c>
    </row>
    <row r="1669" spans="1:3" x14ac:dyDescent="0.25">
      <c r="A1669" t="str">
        <f>"0611831890100"</f>
        <v>0611831890100</v>
      </c>
      <c r="B1669" t="str">
        <f>"LL0680"</f>
        <v>LL0680</v>
      </c>
      <c r="C1669" t="s">
        <v>1631</v>
      </c>
    </row>
    <row r="1670" spans="1:3" x14ac:dyDescent="0.25">
      <c r="A1670" t="str">
        <f>"0611831896100"</f>
        <v>0611831896100</v>
      </c>
      <c r="B1670" t="str">
        <f>"LL8172"</f>
        <v>LL8172</v>
      </c>
      <c r="C1670" t="s">
        <v>1632</v>
      </c>
    </row>
    <row r="1671" spans="1:3" x14ac:dyDescent="0.25">
      <c r="A1671" t="str">
        <f>"0611831901100"</f>
        <v>0611831901100</v>
      </c>
      <c r="B1671" t="str">
        <f>"LL8305"</f>
        <v>LL8305</v>
      </c>
      <c r="C1671" t="s">
        <v>1633</v>
      </c>
    </row>
    <row r="1672" spans="1:3" x14ac:dyDescent="0.25">
      <c r="A1672" t="str">
        <f>"0611831904100"</f>
        <v>0611831904100</v>
      </c>
      <c r="B1672" t="str">
        <f>"LL0707"</f>
        <v>LL0707</v>
      </c>
      <c r="C1672" t="s">
        <v>1634</v>
      </c>
    </row>
    <row r="1673" spans="1:3" x14ac:dyDescent="0.25">
      <c r="A1673" t="str">
        <f>"0611831905100"</f>
        <v>0611831905100</v>
      </c>
      <c r="B1673" t="str">
        <f>"LL0710"</f>
        <v>LL0710</v>
      </c>
      <c r="C1673" t="s">
        <v>1635</v>
      </c>
    </row>
    <row r="1674" spans="1:3" x14ac:dyDescent="0.25">
      <c r="A1674" t="str">
        <f>"0611831907100"</f>
        <v>0611831907100</v>
      </c>
      <c r="B1674" t="str">
        <f>"LL0730"</f>
        <v>LL0730</v>
      </c>
      <c r="C1674" t="s">
        <v>1636</v>
      </c>
    </row>
    <row r="1675" spans="1:3" x14ac:dyDescent="0.25">
      <c r="A1675" t="str">
        <f>"0611831909100"</f>
        <v>0611831909100</v>
      </c>
      <c r="B1675" t="str">
        <f>"LL0735"</f>
        <v>LL0735</v>
      </c>
      <c r="C1675" t="s">
        <v>1637</v>
      </c>
    </row>
    <row r="1676" spans="1:3" x14ac:dyDescent="0.25">
      <c r="A1676" t="str">
        <f>"0611831816100"</f>
        <v>0611831816100</v>
      </c>
      <c r="B1676" t="str">
        <f>"LL8141"</f>
        <v>LL8141</v>
      </c>
      <c r="C1676" t="s">
        <v>1638</v>
      </c>
    </row>
    <row r="1677" spans="1:3" x14ac:dyDescent="0.25">
      <c r="A1677" t="str">
        <f>"0611831812100"</f>
        <v>0611831812100</v>
      </c>
      <c r="B1677" t="str">
        <f>"LL0034"</f>
        <v>LL0034</v>
      </c>
      <c r="C1677" t="s">
        <v>1639</v>
      </c>
    </row>
    <row r="1678" spans="1:3" x14ac:dyDescent="0.25">
      <c r="A1678" t="str">
        <f>"0611831879100"</f>
        <v>0611831879100</v>
      </c>
      <c r="B1678" t="str">
        <f>"LL2887"</f>
        <v>LL2887</v>
      </c>
      <c r="C1678" t="s">
        <v>1640</v>
      </c>
    </row>
    <row r="1679" spans="1:3" x14ac:dyDescent="0.25">
      <c r="A1679" t="str">
        <f>"0611831895100"</f>
        <v>0611831895100</v>
      </c>
      <c r="B1679" t="str">
        <f>"LL2871"</f>
        <v>LL2871</v>
      </c>
      <c r="C1679" t="s">
        <v>1641</v>
      </c>
    </row>
    <row r="1680" spans="1:3" x14ac:dyDescent="0.25">
      <c r="A1680" t="str">
        <f>"0611831908100"</f>
        <v>0611831908100</v>
      </c>
      <c r="B1680" t="str">
        <f>"LL2874"</f>
        <v>LL2874</v>
      </c>
      <c r="C1680" t="s">
        <v>1642</v>
      </c>
    </row>
    <row r="1681" spans="1:3" x14ac:dyDescent="0.25">
      <c r="A1681" t="str">
        <f>"0611831932100"</f>
        <v>0611831932100</v>
      </c>
      <c r="B1681" t="str">
        <f>"LB5789"</f>
        <v>LB5789</v>
      </c>
      <c r="C1681" t="s">
        <v>1643</v>
      </c>
    </row>
    <row r="1682" spans="1:3" x14ac:dyDescent="0.25">
      <c r="A1682" t="str">
        <f>"0611831938100"</f>
        <v>0611831938100</v>
      </c>
      <c r="B1682" t="str">
        <f>"LL0765"</f>
        <v>LL0765</v>
      </c>
      <c r="C1682" t="s">
        <v>1644</v>
      </c>
    </row>
    <row r="1683" spans="1:3" x14ac:dyDescent="0.25">
      <c r="A1683" t="str">
        <f>"0611831939100"</f>
        <v>0611831939100</v>
      </c>
      <c r="B1683" t="str">
        <f>"LL0766"</f>
        <v>LL0766</v>
      </c>
      <c r="C1683" t="s">
        <v>1645</v>
      </c>
    </row>
    <row r="1684" spans="1:3" x14ac:dyDescent="0.25">
      <c r="A1684" t="str">
        <f>"0611831940100"</f>
        <v>0611831940100</v>
      </c>
      <c r="B1684" t="str">
        <f>"LB5791"</f>
        <v>LB5791</v>
      </c>
      <c r="C1684" t="s">
        <v>1646</v>
      </c>
    </row>
    <row r="1685" spans="1:3" x14ac:dyDescent="0.25">
      <c r="A1685" t="str">
        <f>"0611831942100"</f>
        <v>0611831942100</v>
      </c>
      <c r="B1685" t="str">
        <f>"LL8174"</f>
        <v>LL8174</v>
      </c>
      <c r="C1685" t="s">
        <v>1647</v>
      </c>
    </row>
    <row r="1686" spans="1:3" x14ac:dyDescent="0.25">
      <c r="A1686" t="str">
        <f>"0611831948100"</f>
        <v>0611831948100</v>
      </c>
      <c r="B1686" t="str">
        <f>"LL0636"</f>
        <v>LL0636</v>
      </c>
      <c r="C1686" t="s">
        <v>1648</v>
      </c>
    </row>
    <row r="1687" spans="1:3" x14ac:dyDescent="0.25">
      <c r="A1687" t="str">
        <f>"0611831949100"</f>
        <v>0611831949100</v>
      </c>
      <c r="B1687" t="str">
        <f>"LL0770"</f>
        <v>LL0770</v>
      </c>
      <c r="C1687" t="s">
        <v>1649</v>
      </c>
    </row>
    <row r="1688" spans="1:3" x14ac:dyDescent="0.25">
      <c r="A1688" t="str">
        <f>"0611831950100"</f>
        <v>0611831950100</v>
      </c>
      <c r="B1688" t="str">
        <f>"LL0775"</f>
        <v>LL0775</v>
      </c>
      <c r="C1688" t="s">
        <v>1650</v>
      </c>
    </row>
    <row r="1689" spans="1:3" x14ac:dyDescent="0.25">
      <c r="A1689" t="str">
        <f>"0611831952100"</f>
        <v>0611831952100</v>
      </c>
      <c r="B1689" t="str">
        <f>"LL0787"</f>
        <v>LL0787</v>
      </c>
      <c r="C1689" t="s">
        <v>1651</v>
      </c>
    </row>
    <row r="1690" spans="1:3" x14ac:dyDescent="0.25">
      <c r="A1690" t="str">
        <f>"0611831953100"</f>
        <v>0611831953100</v>
      </c>
      <c r="B1690" t="str">
        <f>"LL0791"</f>
        <v>LL0791</v>
      </c>
      <c r="C1690" t="s">
        <v>1652</v>
      </c>
    </row>
    <row r="1691" spans="1:3" x14ac:dyDescent="0.25">
      <c r="A1691" t="str">
        <f>"0611831954100"</f>
        <v>0611831954100</v>
      </c>
      <c r="B1691" t="str">
        <f>"LL0790"</f>
        <v>LL0790</v>
      </c>
      <c r="C1691" t="s">
        <v>1653</v>
      </c>
    </row>
    <row r="1692" spans="1:3" x14ac:dyDescent="0.25">
      <c r="A1692" t="str">
        <f>"0611831968100"</f>
        <v>0611831968100</v>
      </c>
      <c r="B1692" t="str">
        <f>"LL0800"</f>
        <v>LL0800</v>
      </c>
      <c r="C1692" t="s">
        <v>1654</v>
      </c>
    </row>
    <row r="1693" spans="1:3" x14ac:dyDescent="0.25">
      <c r="A1693" t="str">
        <f>"0611831969200"</f>
        <v>0611831969200</v>
      </c>
      <c r="B1693" t="str">
        <f>"KY0800"</f>
        <v>KY0800</v>
      </c>
      <c r="C1693" t="s">
        <v>1655</v>
      </c>
    </row>
    <row r="1694" spans="1:3" x14ac:dyDescent="0.25">
      <c r="A1694" t="str">
        <f>"0611831970100"</f>
        <v>0611831970100</v>
      </c>
      <c r="B1694" t="str">
        <f>"LL8175"</f>
        <v>LL8175</v>
      </c>
      <c r="C1694" t="s">
        <v>1656</v>
      </c>
    </row>
    <row r="1695" spans="1:3" x14ac:dyDescent="0.25">
      <c r="A1695" t="str">
        <f>"0611831972100"</f>
        <v>0611831972100</v>
      </c>
      <c r="B1695" t="str">
        <f>"LL5008"</f>
        <v>LL5008</v>
      </c>
      <c r="C1695" t="s">
        <v>1657</v>
      </c>
    </row>
    <row r="1696" spans="1:3" x14ac:dyDescent="0.25">
      <c r="A1696" t="str">
        <f>"0611831973100"</f>
        <v>0611831973100</v>
      </c>
      <c r="B1696" t="str">
        <f>"LL5009"</f>
        <v>LL5009</v>
      </c>
      <c r="C1696" t="s">
        <v>1658</v>
      </c>
    </row>
    <row r="1697" spans="1:3" x14ac:dyDescent="0.25">
      <c r="A1697" t="str">
        <f>"0611831983100"</f>
        <v>0611831983100</v>
      </c>
      <c r="B1697" t="str">
        <f>"LB5792"</f>
        <v>LB5792</v>
      </c>
      <c r="C1697" t="s">
        <v>1659</v>
      </c>
    </row>
    <row r="1698" spans="1:3" x14ac:dyDescent="0.25">
      <c r="A1698" t="str">
        <f>"0611832028100"</f>
        <v>0611832028100</v>
      </c>
      <c r="B1698" t="str">
        <f>"LG6625"</f>
        <v>LG6625</v>
      </c>
      <c r="C1698" t="s">
        <v>1660</v>
      </c>
    </row>
    <row r="1699" spans="1:3" x14ac:dyDescent="0.25">
      <c r="A1699" t="str">
        <f>"0611832029100"</f>
        <v>0611832029100</v>
      </c>
      <c r="B1699" t="str">
        <f>"LF8530"</f>
        <v>LF8530</v>
      </c>
      <c r="C1699" t="s">
        <v>1661</v>
      </c>
    </row>
    <row r="1700" spans="1:3" x14ac:dyDescent="0.25">
      <c r="A1700" t="str">
        <f>"0611832030100"</f>
        <v>0611832030100</v>
      </c>
      <c r="B1700" t="str">
        <f>"LK2767"</f>
        <v>LK2767</v>
      </c>
      <c r="C1700" t="s">
        <v>1662</v>
      </c>
    </row>
    <row r="1701" spans="1:3" x14ac:dyDescent="0.25">
      <c r="A1701" t="str">
        <f>"0611832039100"</f>
        <v>0611832039100</v>
      </c>
      <c r="B1701" t="str">
        <f>"LS0011"</f>
        <v>LS0011</v>
      </c>
      <c r="C1701" t="s">
        <v>1669</v>
      </c>
    </row>
    <row r="1702" spans="1:3" x14ac:dyDescent="0.25">
      <c r="A1702" t="str">
        <f>"0611832034100"</f>
        <v>0611832034100</v>
      </c>
      <c r="B1702" t="str">
        <f>"LB1430"</f>
        <v>LB1430</v>
      </c>
      <c r="C1702" t="s">
        <v>1663</v>
      </c>
    </row>
    <row r="1703" spans="1:3" x14ac:dyDescent="0.25">
      <c r="A1703" t="str">
        <f>"0611832035100"</f>
        <v>0611832035100</v>
      </c>
      <c r="B1703" t="str">
        <f>"LK1087"</f>
        <v>LK1087</v>
      </c>
      <c r="C1703" t="s">
        <v>1664</v>
      </c>
    </row>
    <row r="1704" spans="1:3" x14ac:dyDescent="0.25">
      <c r="A1704" t="str">
        <f>"0611832036100"</f>
        <v>0611832036100</v>
      </c>
      <c r="B1704" t="str">
        <f>"LK0472"</f>
        <v>LK0472</v>
      </c>
      <c r="C1704" t="s">
        <v>1665</v>
      </c>
    </row>
    <row r="1705" spans="1:3" x14ac:dyDescent="0.25">
      <c r="A1705" t="str">
        <f>"0611832037100"</f>
        <v>0611832037100</v>
      </c>
      <c r="B1705" t="str">
        <f>"LK0473"</f>
        <v>LK0473</v>
      </c>
      <c r="C1705" t="s">
        <v>1666</v>
      </c>
    </row>
    <row r="1706" spans="1:3" x14ac:dyDescent="0.25">
      <c r="A1706" t="str">
        <f>"0611832038100"</f>
        <v>0611832038100</v>
      </c>
      <c r="B1706" t="str">
        <f>"LK0005"</f>
        <v>LK0005</v>
      </c>
      <c r="C1706" t="s">
        <v>1667</v>
      </c>
    </row>
    <row r="1707" spans="1:3" x14ac:dyDescent="0.25">
      <c r="A1707" t="str">
        <f>"0611832032025"</f>
        <v>0611832032025</v>
      </c>
      <c r="B1707" t="str">
        <f>"MC1422"</f>
        <v>MC1422</v>
      </c>
      <c r="C1707" t="s">
        <v>1668</v>
      </c>
    </row>
    <row r="1708" spans="1:3" x14ac:dyDescent="0.25">
      <c r="A1708" t="str">
        <f>"0611832031100"</f>
        <v>0611832031100</v>
      </c>
      <c r="B1708" t="str">
        <f>"LF1110"</f>
        <v>LF1110</v>
      </c>
      <c r="C1708" t="s">
        <v>1670</v>
      </c>
    </row>
    <row r="1709" spans="1:3" x14ac:dyDescent="0.25">
      <c r="A1709" t="str">
        <f>"0611832040100"</f>
        <v>0611832040100</v>
      </c>
      <c r="B1709" t="str">
        <f>"LK0474"</f>
        <v>LK0474</v>
      </c>
      <c r="C1709" t="s">
        <v>1671</v>
      </c>
    </row>
    <row r="1710" spans="1:3" x14ac:dyDescent="0.25">
      <c r="A1710" t="str">
        <f>"0611832041100"</f>
        <v>0611832041100</v>
      </c>
      <c r="B1710" t="str">
        <f>"LK1089"</f>
        <v>LK1089</v>
      </c>
      <c r="C1710" t="s">
        <v>1672</v>
      </c>
    </row>
    <row r="1711" spans="1:3" x14ac:dyDescent="0.25">
      <c r="A1711" t="str">
        <f>"0611832042100"</f>
        <v>0611832042100</v>
      </c>
      <c r="B1711" t="str">
        <f>"LK2768"</f>
        <v>LK2768</v>
      </c>
      <c r="C1711" t="s">
        <v>1673</v>
      </c>
    </row>
    <row r="1712" spans="1:3" x14ac:dyDescent="0.25">
      <c r="A1712" t="str">
        <f>"0611832033025"</f>
        <v>0611832033025</v>
      </c>
      <c r="B1712" t="str">
        <f>"MC4125"</f>
        <v>MC4125</v>
      </c>
      <c r="C1712" t="s">
        <v>1674</v>
      </c>
    </row>
    <row r="1713" spans="1:3" x14ac:dyDescent="0.25">
      <c r="A1713" t="str">
        <f>"0611832043100"</f>
        <v>0611832043100</v>
      </c>
      <c r="B1713" t="str">
        <f>"LK2769"</f>
        <v>LK2769</v>
      </c>
      <c r="C1713" t="s">
        <v>1675</v>
      </c>
    </row>
    <row r="1714" spans="1:3" x14ac:dyDescent="0.25">
      <c r="A1714" t="str">
        <f>"0611832044025"</f>
        <v>0611832044025</v>
      </c>
      <c r="B1714" t="str">
        <f>"MC3223"</f>
        <v>MC3223</v>
      </c>
      <c r="C1714" t="s">
        <v>1676</v>
      </c>
    </row>
    <row r="1715" spans="1:3" x14ac:dyDescent="0.25">
      <c r="A1715" t="str">
        <f>"0611832045025"</f>
        <v>0611832045025</v>
      </c>
      <c r="B1715" t="str">
        <f>"MC1903"</f>
        <v>MC1903</v>
      </c>
      <c r="C1715" t="s">
        <v>1677</v>
      </c>
    </row>
    <row r="1716" spans="1:3" x14ac:dyDescent="0.25">
      <c r="A1716" t="str">
        <f>"0611832046025"</f>
        <v>0611832046025</v>
      </c>
      <c r="B1716" t="str">
        <f>"MQ0224"</f>
        <v>MQ0224</v>
      </c>
      <c r="C1716" t="s">
        <v>1678</v>
      </c>
    </row>
    <row r="1717" spans="1:3" x14ac:dyDescent="0.25">
      <c r="A1717" t="str">
        <f>"0611832047025"</f>
        <v>0611832047025</v>
      </c>
      <c r="B1717" t="str">
        <f>"MC0150"</f>
        <v>MC0150</v>
      </c>
      <c r="C1717" t="s">
        <v>1679</v>
      </c>
    </row>
    <row r="1718" spans="1:3" x14ac:dyDescent="0.25">
      <c r="A1718" t="str">
        <f>"0611832048025"</f>
        <v>0611832048025</v>
      </c>
      <c r="B1718" t="str">
        <f>"MC1540"</f>
        <v>MC1540</v>
      </c>
      <c r="C1718" t="s">
        <v>1680</v>
      </c>
    </row>
    <row r="1719" spans="1:3" x14ac:dyDescent="0.25">
      <c r="A1719" t="str">
        <f>"0611832049025"</f>
        <v>0611832049025</v>
      </c>
      <c r="B1719" t="str">
        <f>"MC4138"</f>
        <v>MC4138</v>
      </c>
      <c r="C1719" t="s">
        <v>1681</v>
      </c>
    </row>
    <row r="1720" spans="1:3" x14ac:dyDescent="0.25">
      <c r="A1720" t="str">
        <f>"0611832050025"</f>
        <v>0611832050025</v>
      </c>
      <c r="B1720" t="str">
        <f>"MC3691"</f>
        <v>MC3691</v>
      </c>
      <c r="C1720" t="s">
        <v>1682</v>
      </c>
    </row>
    <row r="1721" spans="1:3" x14ac:dyDescent="0.25">
      <c r="A1721" t="str">
        <f>"0611832051025"</f>
        <v>0611832051025</v>
      </c>
      <c r="B1721" t="str">
        <f>"MC0151"</f>
        <v>MC0151</v>
      </c>
      <c r="C1721" t="s">
        <v>1683</v>
      </c>
    </row>
    <row r="1722" spans="1:3" x14ac:dyDescent="0.25">
      <c r="A1722" t="str">
        <f>"0611832052100"</f>
        <v>0611832052100</v>
      </c>
      <c r="B1722" t="str">
        <f>"LF1111"</f>
        <v>LF1111</v>
      </c>
      <c r="C1722" t="s">
        <v>1684</v>
      </c>
    </row>
    <row r="1723" spans="1:3" x14ac:dyDescent="0.25">
      <c r="A1723" t="str">
        <f>"0611832053100"</f>
        <v>0611832053100</v>
      </c>
      <c r="B1723" t="str">
        <f>"LF0023"</f>
        <v>LF0023</v>
      </c>
      <c r="C1723" t="s">
        <v>1685</v>
      </c>
    </row>
    <row r="1724" spans="1:3" x14ac:dyDescent="0.25">
      <c r="A1724" t="str">
        <f>"0611832054100"</f>
        <v>0611832054100</v>
      </c>
      <c r="B1724" t="str">
        <f>"LF0024"</f>
        <v>LF0024</v>
      </c>
      <c r="C1724" t="s">
        <v>1686</v>
      </c>
    </row>
    <row r="1725" spans="1:3" x14ac:dyDescent="0.25">
      <c r="A1725" t="str">
        <f>"0611832055100"</f>
        <v>0611832055100</v>
      </c>
      <c r="B1725" t="str">
        <f>"LF0025"</f>
        <v>LF0025</v>
      </c>
      <c r="C1725" t="s">
        <v>1687</v>
      </c>
    </row>
    <row r="1726" spans="1:3" x14ac:dyDescent="0.25">
      <c r="A1726" t="str">
        <f>"0611832056100"</f>
        <v>0611832056100</v>
      </c>
      <c r="B1726" t="str">
        <f>"LF0026"</f>
        <v>LF0026</v>
      </c>
      <c r="C1726" t="s">
        <v>1688</v>
      </c>
    </row>
    <row r="1727" spans="1:3" x14ac:dyDescent="0.25">
      <c r="A1727" t="str">
        <f>"0611832057100"</f>
        <v>0611832057100</v>
      </c>
      <c r="B1727" t="str">
        <f>"LB1411"</f>
        <v>LB1411</v>
      </c>
      <c r="C1727" t="s">
        <v>1689</v>
      </c>
    </row>
    <row r="1728" spans="1:3" x14ac:dyDescent="0.25">
      <c r="A1728" t="str">
        <f>"0611884059025"</f>
        <v>0611884059025</v>
      </c>
      <c r="B1728" t="str">
        <f>"MC4451"</f>
        <v>MC4451</v>
      </c>
      <c r="C1728" t="s">
        <v>1690</v>
      </c>
    </row>
    <row r="1729" spans="1:3" x14ac:dyDescent="0.25">
      <c r="A1729" t="str">
        <f>"0611832058100"</f>
        <v>0611832058100</v>
      </c>
      <c r="B1729" t="str">
        <f>"LB1470"</f>
        <v>LB1470</v>
      </c>
      <c r="C1729" t="s">
        <v>1691</v>
      </c>
    </row>
    <row r="1730" spans="1:3" x14ac:dyDescent="0.25">
      <c r="A1730" t="str">
        <f>"0611832059100"</f>
        <v>0611832059100</v>
      </c>
      <c r="B1730" t="str">
        <f>"LB1471"</f>
        <v>LB1471</v>
      </c>
      <c r="C1730" t="s">
        <v>1692</v>
      </c>
    </row>
    <row r="1731" spans="1:3" x14ac:dyDescent="0.25">
      <c r="A1731" t="str">
        <f>"0611832060100"</f>
        <v>0611832060100</v>
      </c>
      <c r="B1731" t="str">
        <f>"LB1473"</f>
        <v>LB1473</v>
      </c>
      <c r="C1731" t="s">
        <v>1693</v>
      </c>
    </row>
    <row r="1732" spans="1:3" x14ac:dyDescent="0.25">
      <c r="A1732" t="str">
        <f>"0611832063100"</f>
        <v>0611832063100</v>
      </c>
      <c r="B1732" t="str">
        <f>"LQ3795"</f>
        <v>LQ3795</v>
      </c>
      <c r="C1732" t="s">
        <v>1694</v>
      </c>
    </row>
    <row r="1733" spans="1:3" x14ac:dyDescent="0.25">
      <c r="A1733" t="str">
        <f>"0611832064100"</f>
        <v>0611832064100</v>
      </c>
      <c r="B1733" t="str">
        <f>"LQ6055"</f>
        <v>LQ6055</v>
      </c>
      <c r="C1733" t="s">
        <v>1695</v>
      </c>
    </row>
    <row r="1734" spans="1:3" x14ac:dyDescent="0.25">
      <c r="A1734" t="str">
        <f>"0611832065100"</f>
        <v>0611832065100</v>
      </c>
      <c r="B1734" t="str">
        <f>"LK6994"</f>
        <v>LK6994</v>
      </c>
      <c r="C1734" t="s">
        <v>1696</v>
      </c>
    </row>
    <row r="1735" spans="1:3" x14ac:dyDescent="0.25">
      <c r="A1735" t="str">
        <f>"0611832066100"</f>
        <v>0611832066100</v>
      </c>
      <c r="B1735" t="str">
        <f>"LK6995"</f>
        <v>LK6995</v>
      </c>
      <c r="C1735" t="s">
        <v>1697</v>
      </c>
    </row>
    <row r="1736" spans="1:3" x14ac:dyDescent="0.25">
      <c r="A1736" t="str">
        <f>"0611832067100"</f>
        <v>0611832067100</v>
      </c>
      <c r="B1736" t="str">
        <f>"LK6996"</f>
        <v>LK6996</v>
      </c>
      <c r="C1736" t="s">
        <v>1698</v>
      </c>
    </row>
    <row r="1737" spans="1:3" x14ac:dyDescent="0.25">
      <c r="A1737" t="str">
        <f>"0611832061100"</f>
        <v>0611832061100</v>
      </c>
      <c r="B1737" t="str">
        <f>"LB1451"</f>
        <v>LB1451</v>
      </c>
      <c r="C1737" t="s">
        <v>1699</v>
      </c>
    </row>
    <row r="1738" spans="1:3" x14ac:dyDescent="0.25">
      <c r="A1738" t="str">
        <f>"0611832069100"</f>
        <v>0611832069100</v>
      </c>
      <c r="B1738" t="str">
        <f>"LQ3447"</f>
        <v>LQ3447</v>
      </c>
      <c r="C1738" t="s">
        <v>1700</v>
      </c>
    </row>
    <row r="1739" spans="1:3" x14ac:dyDescent="0.25">
      <c r="A1739" t="str">
        <f>"0611860711050"</f>
        <v>0611860711050</v>
      </c>
      <c r="B1739" t="str">
        <f>"CR2055"</f>
        <v>CR2055</v>
      </c>
      <c r="C1739" t="s">
        <v>1701</v>
      </c>
    </row>
    <row r="1740" spans="1:3" x14ac:dyDescent="0.25">
      <c r="A1740" t="str">
        <f>"0611860712050"</f>
        <v>0611860712050</v>
      </c>
      <c r="B1740" t="str">
        <f>"CR3989"</f>
        <v>CR3989</v>
      </c>
      <c r="C1740" t="s">
        <v>1702</v>
      </c>
    </row>
    <row r="1741" spans="1:3" x14ac:dyDescent="0.25">
      <c r="A1741" t="str">
        <f>"0611860713050"</f>
        <v>0611860713050</v>
      </c>
      <c r="B1741" t="str">
        <f>"CR2056"</f>
        <v>CR2056</v>
      </c>
      <c r="C1741" t="s">
        <v>1703</v>
      </c>
    </row>
    <row r="1742" spans="1:3" x14ac:dyDescent="0.25">
      <c r="A1742" t="str">
        <f>"0611860714050"</f>
        <v>0611860714050</v>
      </c>
      <c r="B1742" t="str">
        <f>"CR2057"</f>
        <v>CR2057</v>
      </c>
      <c r="C1742" t="s">
        <v>1704</v>
      </c>
    </row>
    <row r="1743" spans="1:3" x14ac:dyDescent="0.25">
      <c r="A1743" t="str">
        <f>"0611860715050"</f>
        <v>0611860715050</v>
      </c>
      <c r="B1743" t="str">
        <f>"CR3990"</f>
        <v>CR3990</v>
      </c>
      <c r="C1743" t="s">
        <v>1705</v>
      </c>
    </row>
    <row r="1744" spans="1:3" x14ac:dyDescent="0.25">
      <c r="A1744" t="str">
        <f>"0611860716050"</f>
        <v>0611860716050</v>
      </c>
      <c r="B1744" t="str">
        <f>"CR5132"</f>
        <v>CR5132</v>
      </c>
      <c r="C1744" t="s">
        <v>1706</v>
      </c>
    </row>
    <row r="1745" spans="1:3" x14ac:dyDescent="0.25">
      <c r="A1745" t="str">
        <f>"0611860717050"</f>
        <v>0611860717050</v>
      </c>
      <c r="B1745" t="str">
        <f>"CR5134"</f>
        <v>CR5134</v>
      </c>
      <c r="C1745" t="s">
        <v>1709</v>
      </c>
    </row>
    <row r="1746" spans="1:3" x14ac:dyDescent="0.25">
      <c r="A1746" t="str">
        <f>"0611860718050"</f>
        <v>0611860718050</v>
      </c>
      <c r="B1746" t="str">
        <f>"CR5135"</f>
        <v>CR5135</v>
      </c>
      <c r="C1746" t="s">
        <v>1710</v>
      </c>
    </row>
    <row r="1747" spans="1:3" x14ac:dyDescent="0.25">
      <c r="A1747" t="str">
        <f>"0611860719050"</f>
        <v>0611860719050</v>
      </c>
      <c r="B1747" t="str">
        <f>"CR5136"</f>
        <v>CR5136</v>
      </c>
      <c r="C1747" t="s">
        <v>1712</v>
      </c>
    </row>
    <row r="1748" spans="1:3" x14ac:dyDescent="0.25">
      <c r="A1748" t="str">
        <f>"0611860720050"</f>
        <v>0611860720050</v>
      </c>
      <c r="B1748" t="str">
        <f>"CR5137"</f>
        <v>CR5137</v>
      </c>
      <c r="C1748" t="s">
        <v>1713</v>
      </c>
    </row>
    <row r="1749" spans="1:3" x14ac:dyDescent="0.25">
      <c r="A1749" t="str">
        <f>"0611884060050"</f>
        <v>0611884060050</v>
      </c>
      <c r="B1749" t="str">
        <f>"CR5417"</f>
        <v>CR5417</v>
      </c>
      <c r="C1749" t="s">
        <v>1714</v>
      </c>
    </row>
    <row r="1750" spans="1:3" x14ac:dyDescent="0.25">
      <c r="A1750" t="str">
        <f>"0611860721050"</f>
        <v>0611860721050</v>
      </c>
      <c r="B1750" t="str">
        <f>"CR5138"</f>
        <v>CR5138</v>
      </c>
      <c r="C1750" t="s">
        <v>1715</v>
      </c>
    </row>
    <row r="1751" spans="1:3" x14ac:dyDescent="0.25">
      <c r="A1751" t="str">
        <f>"0611860722050"</f>
        <v>0611860722050</v>
      </c>
      <c r="B1751" t="str">
        <f>"CR5139"</f>
        <v>CR5139</v>
      </c>
      <c r="C1751" t="s">
        <v>1716</v>
      </c>
    </row>
    <row r="1752" spans="1:3" x14ac:dyDescent="0.25">
      <c r="A1752" t="str">
        <f>"0611860723050"</f>
        <v>0611860723050</v>
      </c>
      <c r="B1752" t="str">
        <f>"CR5140"</f>
        <v>CR5140</v>
      </c>
      <c r="C1752" t="s">
        <v>1717</v>
      </c>
    </row>
    <row r="1753" spans="1:3" x14ac:dyDescent="0.25">
      <c r="A1753" t="str">
        <f>"0611860724050"</f>
        <v>0611860724050</v>
      </c>
      <c r="B1753" t="str">
        <f>"CR5141"</f>
        <v>CR5141</v>
      </c>
      <c r="C1753" t="s">
        <v>1718</v>
      </c>
    </row>
    <row r="1754" spans="1:3" x14ac:dyDescent="0.25">
      <c r="A1754" t="str">
        <f>"0611884061050"</f>
        <v>0611884061050</v>
      </c>
      <c r="B1754" t="str">
        <f>"CR5410"</f>
        <v>CR5410</v>
      </c>
      <c r="C1754" t="s">
        <v>1719</v>
      </c>
    </row>
    <row r="1755" spans="1:3" x14ac:dyDescent="0.25">
      <c r="A1755" t="str">
        <f>"0611893345050"</f>
        <v>0611893345050</v>
      </c>
      <c r="B1755" t="str">
        <f>"CR5339"</f>
        <v>CR5339</v>
      </c>
      <c r="C1755" t="s">
        <v>1707</v>
      </c>
    </row>
    <row r="1756" spans="1:3" x14ac:dyDescent="0.25">
      <c r="A1756" t="str">
        <f>"0611893346050"</f>
        <v>0611893346050</v>
      </c>
      <c r="B1756" t="str">
        <f>"CR5133"</f>
        <v>CR5133</v>
      </c>
      <c r="C1756" t="s">
        <v>1708</v>
      </c>
    </row>
    <row r="1757" spans="1:3" x14ac:dyDescent="0.25">
      <c r="A1757" t="str">
        <f>"0611893347050"</f>
        <v>0611893347050</v>
      </c>
      <c r="B1757" t="str">
        <f>"CR5439"</f>
        <v>CR5439</v>
      </c>
      <c r="C1757" t="s">
        <v>1711</v>
      </c>
    </row>
    <row r="1758" spans="1:3" x14ac:dyDescent="0.25">
      <c r="A1758" t="str">
        <f>"0611860725050"</f>
        <v>0611860725050</v>
      </c>
      <c r="B1758" t="str">
        <f>"CR2061"</f>
        <v>CR2061</v>
      </c>
      <c r="C1758" t="s">
        <v>13779</v>
      </c>
    </row>
    <row r="1759" spans="1:3" x14ac:dyDescent="0.25">
      <c r="A1759" t="str">
        <f>"0611860726050"</f>
        <v>0611860726050</v>
      </c>
      <c r="B1759" t="str">
        <f>"CR4904"</f>
        <v>CR4904</v>
      </c>
      <c r="C1759" t="s">
        <v>1720</v>
      </c>
    </row>
    <row r="1760" spans="1:3" x14ac:dyDescent="0.25">
      <c r="A1760" t="str">
        <f>"0611860727050"</f>
        <v>0611860727050</v>
      </c>
      <c r="B1760" t="str">
        <f>"CR3587"</f>
        <v>CR3587</v>
      </c>
      <c r="C1760" t="s">
        <v>1721</v>
      </c>
    </row>
    <row r="1761" spans="1:3" x14ac:dyDescent="0.25">
      <c r="A1761" t="str">
        <f>"0611860728050"</f>
        <v>0611860728050</v>
      </c>
      <c r="B1761" t="str">
        <f>"CR3177"</f>
        <v>CR3177</v>
      </c>
      <c r="C1761" t="s">
        <v>1722</v>
      </c>
    </row>
    <row r="1762" spans="1:3" x14ac:dyDescent="0.25">
      <c r="A1762" t="str">
        <f>"0611860731050"</f>
        <v>0611860731050</v>
      </c>
      <c r="B1762" t="str">
        <f>"CR2058"</f>
        <v>CR2058</v>
      </c>
      <c r="C1762" t="s">
        <v>1724</v>
      </c>
    </row>
    <row r="1763" spans="1:3" x14ac:dyDescent="0.25">
      <c r="A1763" t="str">
        <f>"0611860729050"</f>
        <v>0611860729050</v>
      </c>
      <c r="B1763" t="str">
        <f>"CR3588"</f>
        <v>CR3588</v>
      </c>
      <c r="C1763" t="s">
        <v>1723</v>
      </c>
    </row>
    <row r="1764" spans="1:3" x14ac:dyDescent="0.25">
      <c r="A1764" t="str">
        <f>"0611860730050"</f>
        <v>0611860730050</v>
      </c>
      <c r="B1764" t="str">
        <f>"CR2059"</f>
        <v>CR2059</v>
      </c>
      <c r="C1764" t="s">
        <v>1725</v>
      </c>
    </row>
    <row r="1765" spans="1:3" x14ac:dyDescent="0.25">
      <c r="A1765" t="str">
        <f>"0611860732050"</f>
        <v>0611860732050</v>
      </c>
      <c r="B1765" t="str">
        <f>"CR3696"</f>
        <v>CR3696</v>
      </c>
      <c r="C1765" t="s">
        <v>1726</v>
      </c>
    </row>
    <row r="1766" spans="1:3" x14ac:dyDescent="0.25">
      <c r="A1766" t="str">
        <f>"0611860733050"</f>
        <v>0611860733050</v>
      </c>
      <c r="B1766" t="str">
        <f>"CR3862"</f>
        <v>CR3862</v>
      </c>
      <c r="C1766" t="s">
        <v>1727</v>
      </c>
    </row>
    <row r="1767" spans="1:3" x14ac:dyDescent="0.25">
      <c r="A1767" t="str">
        <f>"0611860734050"</f>
        <v>0611860734050</v>
      </c>
      <c r="B1767" t="str">
        <f>"CR3591"</f>
        <v>CR3591</v>
      </c>
      <c r="C1767" t="s">
        <v>1728</v>
      </c>
    </row>
    <row r="1768" spans="1:3" x14ac:dyDescent="0.25">
      <c r="A1768" t="str">
        <f>"0611860735050"</f>
        <v>0611860735050</v>
      </c>
      <c r="B1768" t="str">
        <f>"CR3717"</f>
        <v>CR3717</v>
      </c>
      <c r="C1768" t="s">
        <v>1729</v>
      </c>
    </row>
    <row r="1769" spans="1:3" x14ac:dyDescent="0.25">
      <c r="A1769" t="str">
        <f>"0611860736050"</f>
        <v>0611860736050</v>
      </c>
      <c r="B1769" t="str">
        <f>"CR2064"</f>
        <v>CR2064</v>
      </c>
      <c r="C1769" t="s">
        <v>1730</v>
      </c>
    </row>
    <row r="1770" spans="1:3" x14ac:dyDescent="0.25">
      <c r="A1770" t="str">
        <f>"0611860737050"</f>
        <v>0611860737050</v>
      </c>
      <c r="B1770" t="str">
        <f>"CR2063"</f>
        <v>CR2063</v>
      </c>
      <c r="C1770" t="s">
        <v>1731</v>
      </c>
    </row>
    <row r="1771" spans="1:3" x14ac:dyDescent="0.25">
      <c r="A1771" t="str">
        <f>"0611884063050"</f>
        <v>0611884063050</v>
      </c>
      <c r="B1771" t="str">
        <f>"CR2613"</f>
        <v>CR2613</v>
      </c>
      <c r="C1771" t="s">
        <v>1735</v>
      </c>
    </row>
    <row r="1772" spans="1:3" x14ac:dyDescent="0.25">
      <c r="A1772" t="str">
        <f>"0611860738050"</f>
        <v>0611860738050</v>
      </c>
      <c r="B1772" t="str">
        <f>"CR2067"</f>
        <v>CR2067</v>
      </c>
      <c r="C1772" t="s">
        <v>1732</v>
      </c>
    </row>
    <row r="1773" spans="1:3" x14ac:dyDescent="0.25">
      <c r="A1773" t="str">
        <f>"0611860739050"</f>
        <v>0611860739050</v>
      </c>
      <c r="B1773" t="str">
        <f>"CR2068"</f>
        <v>CR2068</v>
      </c>
      <c r="C1773" t="s">
        <v>1733</v>
      </c>
    </row>
    <row r="1774" spans="1:3" x14ac:dyDescent="0.25">
      <c r="A1774" t="str">
        <f>"0611884062050"</f>
        <v>0611884062050</v>
      </c>
      <c r="B1774" t="str">
        <f>"CR3066"</f>
        <v>CR3066</v>
      </c>
      <c r="C1774" t="s">
        <v>1734</v>
      </c>
    </row>
    <row r="1775" spans="1:3" x14ac:dyDescent="0.25">
      <c r="A1775" t="str">
        <f>"0611860740050"</f>
        <v>0611860740050</v>
      </c>
      <c r="B1775" t="str">
        <f>"CR3863"</f>
        <v>CR3863</v>
      </c>
      <c r="C1775" t="s">
        <v>1736</v>
      </c>
    </row>
    <row r="1776" spans="1:3" x14ac:dyDescent="0.25">
      <c r="A1776" t="str">
        <f>"0611860741050"</f>
        <v>0611860741050</v>
      </c>
      <c r="B1776" t="str">
        <f>"CR3067"</f>
        <v>CR3067</v>
      </c>
      <c r="C1776" t="s">
        <v>1737</v>
      </c>
    </row>
    <row r="1777" spans="1:3" x14ac:dyDescent="0.25">
      <c r="A1777" t="str">
        <f>"0611884064050"</f>
        <v>0611884064050</v>
      </c>
      <c r="B1777" t="str">
        <f>"CR5312"</f>
        <v>CR5312</v>
      </c>
      <c r="C1777" t="s">
        <v>1738</v>
      </c>
    </row>
    <row r="1778" spans="1:3" x14ac:dyDescent="0.25">
      <c r="A1778" t="str">
        <f>"0611860742050"</f>
        <v>0611860742050</v>
      </c>
      <c r="B1778" t="str">
        <f>"CR4780"</f>
        <v>CR4780</v>
      </c>
      <c r="C1778" t="s">
        <v>1739</v>
      </c>
    </row>
    <row r="1779" spans="1:3" x14ac:dyDescent="0.25">
      <c r="A1779" t="str">
        <f>"0611860743050"</f>
        <v>0611860743050</v>
      </c>
      <c r="B1779" t="str">
        <f>"CR2069"</f>
        <v>CR2069</v>
      </c>
      <c r="C1779" t="s">
        <v>1740</v>
      </c>
    </row>
    <row r="1780" spans="1:3" x14ac:dyDescent="0.25">
      <c r="A1780" t="str">
        <f>"0611884065050"</f>
        <v>0611884065050</v>
      </c>
      <c r="B1780" t="str">
        <f>"CR5313"</f>
        <v>CR5313</v>
      </c>
      <c r="C1780" t="s">
        <v>1741</v>
      </c>
    </row>
    <row r="1781" spans="1:3" x14ac:dyDescent="0.25">
      <c r="A1781" t="str">
        <f>"0611860744050"</f>
        <v>0611860744050</v>
      </c>
      <c r="B1781" t="str">
        <f>"CR3458"</f>
        <v>CR3458</v>
      </c>
      <c r="C1781" t="s">
        <v>1742</v>
      </c>
    </row>
    <row r="1782" spans="1:3" x14ac:dyDescent="0.25">
      <c r="A1782" t="str">
        <f>"0611860745050"</f>
        <v>0611860745050</v>
      </c>
      <c r="B1782" t="str">
        <f>"CR2065"</f>
        <v>CR2065</v>
      </c>
      <c r="C1782" t="s">
        <v>1743</v>
      </c>
    </row>
    <row r="1783" spans="1:3" x14ac:dyDescent="0.25">
      <c r="A1783" t="str">
        <f>"0611860746050"</f>
        <v>0611860746050</v>
      </c>
      <c r="B1783" t="str">
        <f>"CR3697"</f>
        <v>CR3697</v>
      </c>
      <c r="C1783" t="s">
        <v>1744</v>
      </c>
    </row>
    <row r="1784" spans="1:3" x14ac:dyDescent="0.25">
      <c r="A1784" t="str">
        <f>"0611884066050"</f>
        <v>0611884066050</v>
      </c>
      <c r="B1784" t="str">
        <f>"CR5314"</f>
        <v>CR5314</v>
      </c>
      <c r="C1784" t="s">
        <v>1745</v>
      </c>
    </row>
    <row r="1785" spans="1:3" x14ac:dyDescent="0.25">
      <c r="A1785" t="str">
        <f>"0611884067050"</f>
        <v>0611884067050</v>
      </c>
      <c r="B1785" t="str">
        <f>"CR5315"</f>
        <v>CR5315</v>
      </c>
      <c r="C1785" t="s">
        <v>1746</v>
      </c>
    </row>
    <row r="1786" spans="1:3" x14ac:dyDescent="0.25">
      <c r="A1786" t="str">
        <f>"0611860747050"</f>
        <v>0611860747050</v>
      </c>
      <c r="B1786" t="str">
        <f>"CR2070"</f>
        <v>CR2070</v>
      </c>
      <c r="C1786" t="s">
        <v>1747</v>
      </c>
    </row>
    <row r="1787" spans="1:3" x14ac:dyDescent="0.25">
      <c r="A1787" t="str">
        <f>"0611860749050"</f>
        <v>0611860749050</v>
      </c>
      <c r="B1787" t="str">
        <f>"CR3589"</f>
        <v>CR3589</v>
      </c>
      <c r="C1787" t="s">
        <v>1748</v>
      </c>
    </row>
    <row r="1788" spans="1:3" x14ac:dyDescent="0.25">
      <c r="A1788" t="str">
        <f>"0611860750050"</f>
        <v>0611860750050</v>
      </c>
      <c r="B1788" t="str">
        <f>"CR2071"</f>
        <v>CR2071</v>
      </c>
      <c r="C1788" t="s">
        <v>1749</v>
      </c>
    </row>
    <row r="1789" spans="1:3" x14ac:dyDescent="0.25">
      <c r="A1789" t="str">
        <f>"0611860751050"</f>
        <v>0611860751050</v>
      </c>
      <c r="B1789" t="str">
        <f>"CR3718"</f>
        <v>CR3718</v>
      </c>
      <c r="C1789" t="s">
        <v>1750</v>
      </c>
    </row>
    <row r="1790" spans="1:3" x14ac:dyDescent="0.25">
      <c r="A1790" t="str">
        <f>"0611860752050"</f>
        <v>0611860752050</v>
      </c>
      <c r="B1790" t="str">
        <f>"CR2072"</f>
        <v>CR2072</v>
      </c>
      <c r="C1790" t="s">
        <v>1751</v>
      </c>
    </row>
    <row r="1791" spans="1:3" x14ac:dyDescent="0.25">
      <c r="A1791" t="str">
        <f>"0611860753050"</f>
        <v>0611860753050</v>
      </c>
      <c r="B1791" t="str">
        <f>"CR3993"</f>
        <v>CR3993</v>
      </c>
      <c r="C1791" t="s">
        <v>1752</v>
      </c>
    </row>
    <row r="1792" spans="1:3" x14ac:dyDescent="0.25">
      <c r="A1792" t="str">
        <f>"0611860754050"</f>
        <v>0611860754050</v>
      </c>
      <c r="B1792" t="str">
        <f>"CR5142"</f>
        <v>CR5142</v>
      </c>
      <c r="C1792" t="s">
        <v>1753</v>
      </c>
    </row>
    <row r="1793" spans="1:3" x14ac:dyDescent="0.25">
      <c r="A1793" t="str">
        <f>"0611860755050"</f>
        <v>0611860755050</v>
      </c>
      <c r="B1793" t="str">
        <f>"CR3994"</f>
        <v>CR3994</v>
      </c>
      <c r="C1793" t="s">
        <v>1754</v>
      </c>
    </row>
    <row r="1794" spans="1:3" x14ac:dyDescent="0.25">
      <c r="A1794" t="str">
        <f>"0611860756050"</f>
        <v>0611860756050</v>
      </c>
      <c r="B1794" t="str">
        <f>"CR3070"</f>
        <v>CR3070</v>
      </c>
      <c r="C1794" t="s">
        <v>1755</v>
      </c>
    </row>
    <row r="1795" spans="1:3" x14ac:dyDescent="0.25">
      <c r="A1795" t="str">
        <f>"0611860757050"</f>
        <v>0611860757050</v>
      </c>
      <c r="B1795" t="str">
        <f>"CR5143"</f>
        <v>CR5143</v>
      </c>
      <c r="C1795" t="s">
        <v>1756</v>
      </c>
    </row>
    <row r="1796" spans="1:3" x14ac:dyDescent="0.25">
      <c r="A1796" t="str">
        <f>"0611860758050"</f>
        <v>0611860758050</v>
      </c>
      <c r="B1796" t="str">
        <f>"CR2881"</f>
        <v>CR2881</v>
      </c>
      <c r="C1796" t="s">
        <v>1757</v>
      </c>
    </row>
    <row r="1797" spans="1:3" x14ac:dyDescent="0.25">
      <c r="A1797" t="str">
        <f>"0611860759050"</f>
        <v>0611860759050</v>
      </c>
      <c r="B1797" t="str">
        <f>"CR3864"</f>
        <v>CR3864</v>
      </c>
      <c r="C1797" t="s">
        <v>1758</v>
      </c>
    </row>
    <row r="1798" spans="1:3" x14ac:dyDescent="0.25">
      <c r="A1798" t="str">
        <f>"0611860760050"</f>
        <v>0611860760050</v>
      </c>
      <c r="B1798" t="str">
        <f>"CR4781"</f>
        <v>CR4781</v>
      </c>
      <c r="C1798" t="s">
        <v>1759</v>
      </c>
    </row>
    <row r="1799" spans="1:3" x14ac:dyDescent="0.25">
      <c r="A1799" t="str">
        <f>"0611860761050"</f>
        <v>0611860761050</v>
      </c>
      <c r="B1799" t="str">
        <f>"CR2883"</f>
        <v>CR2883</v>
      </c>
      <c r="C1799" t="s">
        <v>1760</v>
      </c>
    </row>
    <row r="1800" spans="1:3" x14ac:dyDescent="0.25">
      <c r="A1800" t="str">
        <f>"0611860762050"</f>
        <v>0611860762050</v>
      </c>
      <c r="B1800" t="str">
        <f>"CR3069"</f>
        <v>CR3069</v>
      </c>
      <c r="C1800" t="s">
        <v>1761</v>
      </c>
    </row>
    <row r="1801" spans="1:3" x14ac:dyDescent="0.25">
      <c r="A1801" t="str">
        <f>"0611860763050"</f>
        <v>0611860763050</v>
      </c>
      <c r="B1801" t="str">
        <f>"CR2884"</f>
        <v>CR2884</v>
      </c>
      <c r="C1801" t="s">
        <v>1762</v>
      </c>
    </row>
    <row r="1802" spans="1:3" x14ac:dyDescent="0.25">
      <c r="A1802" t="str">
        <f>"0611860764050"</f>
        <v>0611860764050</v>
      </c>
      <c r="B1802" t="str">
        <f>"CR3949"</f>
        <v>CR3949</v>
      </c>
      <c r="C1802" t="s">
        <v>1763</v>
      </c>
    </row>
    <row r="1803" spans="1:3" x14ac:dyDescent="0.25">
      <c r="A1803" t="str">
        <f>"0611860765050"</f>
        <v>0611860765050</v>
      </c>
      <c r="B1803" t="str">
        <f>"CR3071"</f>
        <v>CR3071</v>
      </c>
      <c r="C1803" t="s">
        <v>1764</v>
      </c>
    </row>
    <row r="1804" spans="1:3" x14ac:dyDescent="0.25">
      <c r="A1804" t="str">
        <f>"0611860766050"</f>
        <v>0611860766050</v>
      </c>
      <c r="B1804" t="str">
        <f>"CR2075"</f>
        <v>CR2075</v>
      </c>
      <c r="C1804" t="s">
        <v>1765</v>
      </c>
    </row>
    <row r="1805" spans="1:3" x14ac:dyDescent="0.25">
      <c r="A1805" t="str">
        <f>"0611860767050"</f>
        <v>0611860767050</v>
      </c>
      <c r="B1805" t="str">
        <f>"CR2076"</f>
        <v>CR2076</v>
      </c>
      <c r="C1805" t="s">
        <v>1766</v>
      </c>
    </row>
    <row r="1806" spans="1:3" x14ac:dyDescent="0.25">
      <c r="A1806" t="str">
        <f>"0611860768050"</f>
        <v>0611860768050</v>
      </c>
      <c r="B1806" t="str">
        <f>"CR2077"</f>
        <v>CR2077</v>
      </c>
      <c r="C1806" t="s">
        <v>1767</v>
      </c>
    </row>
    <row r="1807" spans="1:3" x14ac:dyDescent="0.25">
      <c r="A1807" t="str">
        <f>"0611860769050"</f>
        <v>0611860769050</v>
      </c>
      <c r="B1807" t="str">
        <f>"CR2614"</f>
        <v>CR2614</v>
      </c>
      <c r="C1807" t="s">
        <v>1768</v>
      </c>
    </row>
    <row r="1808" spans="1:3" x14ac:dyDescent="0.25">
      <c r="A1808" t="str">
        <f>"0611860770050"</f>
        <v>0611860770050</v>
      </c>
      <c r="B1808" t="str">
        <f>"CR2079"</f>
        <v>CR2079</v>
      </c>
      <c r="C1808" t="s">
        <v>1769</v>
      </c>
    </row>
    <row r="1809" spans="1:3" x14ac:dyDescent="0.25">
      <c r="A1809" t="str">
        <f>"0611860771050"</f>
        <v>0611860771050</v>
      </c>
      <c r="B1809" t="str">
        <f>"CR2080"</f>
        <v>CR2080</v>
      </c>
      <c r="C1809" t="s">
        <v>1770</v>
      </c>
    </row>
    <row r="1810" spans="1:3" x14ac:dyDescent="0.25">
      <c r="A1810" t="str">
        <f>"0611860772050"</f>
        <v>0611860772050</v>
      </c>
      <c r="B1810" t="str">
        <f>"CR3970"</f>
        <v>CR3970</v>
      </c>
      <c r="C1810" t="s">
        <v>1771</v>
      </c>
    </row>
    <row r="1811" spans="1:3" x14ac:dyDescent="0.25">
      <c r="A1811" t="str">
        <f>"0611860773050"</f>
        <v>0611860773050</v>
      </c>
      <c r="B1811" t="str">
        <f>"CR2081"</f>
        <v>CR2081</v>
      </c>
      <c r="C1811" t="s">
        <v>1772</v>
      </c>
    </row>
    <row r="1812" spans="1:3" x14ac:dyDescent="0.25">
      <c r="A1812" t="str">
        <f>"0611860774050"</f>
        <v>0611860774050</v>
      </c>
      <c r="B1812" t="str">
        <f>"CR2082"</f>
        <v>CR2082</v>
      </c>
      <c r="C1812" t="s">
        <v>1773</v>
      </c>
    </row>
    <row r="1813" spans="1:3" x14ac:dyDescent="0.25">
      <c r="A1813" t="str">
        <f>"0611860775050"</f>
        <v>0611860775050</v>
      </c>
      <c r="B1813" t="str">
        <f>"CR2083"</f>
        <v>CR2083</v>
      </c>
      <c r="C1813" t="s">
        <v>1774</v>
      </c>
    </row>
    <row r="1814" spans="1:3" x14ac:dyDescent="0.25">
      <c r="A1814" t="str">
        <f>"0611860776050"</f>
        <v>0611860776050</v>
      </c>
      <c r="B1814" t="str">
        <f>"CR2085"</f>
        <v>CR2085</v>
      </c>
      <c r="C1814" t="s">
        <v>1775</v>
      </c>
    </row>
    <row r="1815" spans="1:3" x14ac:dyDescent="0.25">
      <c r="A1815" t="str">
        <f>"0611860777050"</f>
        <v>0611860777050</v>
      </c>
      <c r="B1815" t="str">
        <f>"CR2086"</f>
        <v>CR2086</v>
      </c>
      <c r="C1815" t="s">
        <v>1776</v>
      </c>
    </row>
    <row r="1816" spans="1:3" x14ac:dyDescent="0.25">
      <c r="A1816" t="str">
        <f>"0611832149100"</f>
        <v>0611832149100</v>
      </c>
      <c r="B1816" t="str">
        <f>"LS0012"</f>
        <v>LS0012</v>
      </c>
      <c r="C1816" t="s">
        <v>1973</v>
      </c>
    </row>
    <row r="1817" spans="1:3" x14ac:dyDescent="0.25">
      <c r="A1817" t="str">
        <f>"0611884068050"</f>
        <v>0611884068050</v>
      </c>
      <c r="B1817" t="str">
        <f>"CR5317"</f>
        <v>CR5317</v>
      </c>
      <c r="C1817" t="s">
        <v>1777</v>
      </c>
    </row>
    <row r="1818" spans="1:3" x14ac:dyDescent="0.25">
      <c r="A1818" t="str">
        <f>"0611860778050"</f>
        <v>0611860778050</v>
      </c>
      <c r="B1818" t="str">
        <f>"CR3853"</f>
        <v>CR3853</v>
      </c>
      <c r="C1818" t="s">
        <v>1778</v>
      </c>
    </row>
    <row r="1819" spans="1:3" x14ac:dyDescent="0.25">
      <c r="A1819" t="str">
        <f>"0611860779050"</f>
        <v>0611860779050</v>
      </c>
      <c r="B1819" t="str">
        <f>"CR4782"</f>
        <v>CR4782</v>
      </c>
      <c r="C1819" t="s">
        <v>1779</v>
      </c>
    </row>
    <row r="1820" spans="1:3" x14ac:dyDescent="0.25">
      <c r="A1820" t="str">
        <f>"0611884069050"</f>
        <v>0611884069050</v>
      </c>
      <c r="B1820" t="str">
        <f>"CR5318"</f>
        <v>CR5318</v>
      </c>
      <c r="C1820" t="s">
        <v>1780</v>
      </c>
    </row>
    <row r="1821" spans="1:3" x14ac:dyDescent="0.25">
      <c r="A1821" t="str">
        <f>"0611860780050"</f>
        <v>0611860780050</v>
      </c>
      <c r="B1821" t="str">
        <f>"CR5144"</f>
        <v>CR5144</v>
      </c>
      <c r="C1821" t="s">
        <v>1781</v>
      </c>
    </row>
    <row r="1822" spans="1:3" x14ac:dyDescent="0.25">
      <c r="A1822" t="str">
        <f>"0611884070050"</f>
        <v>0611884070050</v>
      </c>
      <c r="B1822" t="str">
        <f>"CR5319"</f>
        <v>CR5319</v>
      </c>
      <c r="C1822" t="s">
        <v>1782</v>
      </c>
    </row>
    <row r="1823" spans="1:3" x14ac:dyDescent="0.25">
      <c r="A1823" t="str">
        <f>"0611860781050"</f>
        <v>0611860781050</v>
      </c>
      <c r="B1823" t="str">
        <f>"CR3719"</f>
        <v>CR3719</v>
      </c>
      <c r="C1823" t="s">
        <v>1783</v>
      </c>
    </row>
    <row r="1824" spans="1:3" x14ac:dyDescent="0.25">
      <c r="A1824" t="str">
        <f>"0611860782050"</f>
        <v>0611860782050</v>
      </c>
      <c r="B1824" t="str">
        <f>"CR4783"</f>
        <v>CR4783</v>
      </c>
      <c r="C1824" t="s">
        <v>1784</v>
      </c>
    </row>
    <row r="1825" spans="1:3" x14ac:dyDescent="0.25">
      <c r="A1825" t="str">
        <f>"0611860783050"</f>
        <v>0611860783050</v>
      </c>
      <c r="B1825" t="str">
        <f>"CR5145"</f>
        <v>CR5145</v>
      </c>
      <c r="C1825" t="s">
        <v>1785</v>
      </c>
    </row>
    <row r="1826" spans="1:3" x14ac:dyDescent="0.25">
      <c r="A1826" t="str">
        <f>"0611860784050"</f>
        <v>0611860784050</v>
      </c>
      <c r="B1826" t="str">
        <f>"CR3713"</f>
        <v>CR3713</v>
      </c>
      <c r="C1826" t="s">
        <v>1786</v>
      </c>
    </row>
    <row r="1827" spans="1:3" x14ac:dyDescent="0.25">
      <c r="A1827" t="str">
        <f>"0611860785050"</f>
        <v>0611860785050</v>
      </c>
      <c r="B1827" t="str">
        <f>"CR3714"</f>
        <v>CR3714</v>
      </c>
      <c r="C1827" t="s">
        <v>1787</v>
      </c>
    </row>
    <row r="1828" spans="1:3" x14ac:dyDescent="0.25">
      <c r="A1828" t="str">
        <f>"0611906538050"</f>
        <v>0611906538050</v>
      </c>
      <c r="B1828" t="str">
        <f>"CR5461"</f>
        <v>CR5461</v>
      </c>
      <c r="C1828" t="s">
        <v>1788</v>
      </c>
    </row>
    <row r="1829" spans="1:3" x14ac:dyDescent="0.25">
      <c r="A1829" t="str">
        <f>"0611860786050"</f>
        <v>0611860786050</v>
      </c>
      <c r="B1829" t="str">
        <f>"CR4006"</f>
        <v>CR4006</v>
      </c>
      <c r="C1829" t="s">
        <v>1789</v>
      </c>
    </row>
    <row r="1830" spans="1:3" x14ac:dyDescent="0.25">
      <c r="A1830" t="str">
        <f>"0611860787050"</f>
        <v>0611860787050</v>
      </c>
      <c r="B1830" t="str">
        <f>"CR4007"</f>
        <v>CR4007</v>
      </c>
      <c r="C1830" t="s">
        <v>1790</v>
      </c>
    </row>
    <row r="1831" spans="1:3" x14ac:dyDescent="0.25">
      <c r="A1831" t="str">
        <f>"0611860788050"</f>
        <v>0611860788050</v>
      </c>
      <c r="B1831" t="str">
        <f>"CE1171"</f>
        <v>CE1171</v>
      </c>
      <c r="C1831" t="s">
        <v>1791</v>
      </c>
    </row>
    <row r="1832" spans="1:3" x14ac:dyDescent="0.25">
      <c r="A1832" t="str">
        <f>"0611860789050"</f>
        <v>0611860789050</v>
      </c>
      <c r="B1832" t="str">
        <f>"CE1172"</f>
        <v>CE1172</v>
      </c>
      <c r="C1832" t="s">
        <v>1792</v>
      </c>
    </row>
    <row r="1833" spans="1:3" x14ac:dyDescent="0.25">
      <c r="A1833" t="str">
        <f>"0611860791050"</f>
        <v>0611860791050</v>
      </c>
      <c r="B1833" t="str">
        <f>"CE1643"</f>
        <v>CE1643</v>
      </c>
      <c r="C1833" t="s">
        <v>1794</v>
      </c>
    </row>
    <row r="1834" spans="1:3" x14ac:dyDescent="0.25">
      <c r="A1834" t="str">
        <f>"0611860790050"</f>
        <v>0611860790050</v>
      </c>
      <c r="B1834" t="str">
        <f>"CE1173"</f>
        <v>CE1173</v>
      </c>
      <c r="C1834" t="s">
        <v>1793</v>
      </c>
    </row>
    <row r="1835" spans="1:3" x14ac:dyDescent="0.25">
      <c r="A1835" t="str">
        <f>"0611860792050"</f>
        <v>0611860792050</v>
      </c>
      <c r="B1835" t="str">
        <f>"CE1266"</f>
        <v>CE1266</v>
      </c>
      <c r="C1835" t="s">
        <v>1795</v>
      </c>
    </row>
    <row r="1836" spans="1:3" x14ac:dyDescent="0.25">
      <c r="A1836" t="str">
        <f>"0611860793050"</f>
        <v>0611860793050</v>
      </c>
      <c r="B1836" t="str">
        <f>"CE1174"</f>
        <v>CE1174</v>
      </c>
      <c r="C1836" t="s">
        <v>1796</v>
      </c>
    </row>
    <row r="1837" spans="1:3" x14ac:dyDescent="0.25">
      <c r="A1837" t="str">
        <f>"0611860794050"</f>
        <v>0611860794050</v>
      </c>
      <c r="B1837" t="str">
        <f>"CE1175"</f>
        <v>CE1175</v>
      </c>
      <c r="C1837" t="s">
        <v>13780</v>
      </c>
    </row>
    <row r="1838" spans="1:3" x14ac:dyDescent="0.25">
      <c r="A1838" t="str">
        <f>"0611860795050"</f>
        <v>0611860795050</v>
      </c>
      <c r="B1838" t="str">
        <f>"CE1267"</f>
        <v>CE1267</v>
      </c>
      <c r="C1838" t="s">
        <v>1797</v>
      </c>
    </row>
    <row r="1839" spans="1:3" x14ac:dyDescent="0.25">
      <c r="A1839" t="str">
        <f>"0611860796050"</f>
        <v>0611860796050</v>
      </c>
      <c r="B1839" t="str">
        <f>"CE1268"</f>
        <v>CE1268</v>
      </c>
      <c r="C1839" t="s">
        <v>1798</v>
      </c>
    </row>
    <row r="1840" spans="1:3" x14ac:dyDescent="0.25">
      <c r="A1840" t="str">
        <f>"0611860797050"</f>
        <v>0611860797050</v>
      </c>
      <c r="B1840" t="str">
        <f>"CE1176"</f>
        <v>CE1176</v>
      </c>
      <c r="C1840" t="s">
        <v>1799</v>
      </c>
    </row>
    <row r="1841" spans="1:3" x14ac:dyDescent="0.25">
      <c r="A1841" t="str">
        <f>"0611832071100"</f>
        <v>0611832071100</v>
      </c>
      <c r="B1841" t="str">
        <f>"LQ0864"</f>
        <v>LQ0864</v>
      </c>
      <c r="C1841" t="s">
        <v>1800</v>
      </c>
    </row>
    <row r="1842" spans="1:3" x14ac:dyDescent="0.25">
      <c r="A1842" t="str">
        <f>"0611884071100"</f>
        <v>0611884071100</v>
      </c>
      <c r="B1842" t="str">
        <f>"LQ3910"</f>
        <v>LQ3910</v>
      </c>
      <c r="C1842" t="s">
        <v>1801</v>
      </c>
    </row>
    <row r="1843" spans="1:3" x14ac:dyDescent="0.25">
      <c r="A1843" t="str">
        <f>"0611906675100"</f>
        <v>0611906675100</v>
      </c>
      <c r="B1843" t="str">
        <f>"LQ3955"</f>
        <v>LQ3955</v>
      </c>
      <c r="C1843" t="s">
        <v>1802</v>
      </c>
    </row>
    <row r="1844" spans="1:3" x14ac:dyDescent="0.25">
      <c r="A1844" t="str">
        <f>"0611906676100"</f>
        <v>0611906676100</v>
      </c>
      <c r="B1844" t="str">
        <f>"LQ3956"</f>
        <v>LQ3956</v>
      </c>
      <c r="C1844" t="s">
        <v>1803</v>
      </c>
    </row>
    <row r="1845" spans="1:3" x14ac:dyDescent="0.25">
      <c r="A1845" t="str">
        <f>"0611906677100"</f>
        <v>0611906677100</v>
      </c>
      <c r="B1845" t="str">
        <f>"LQ3957"</f>
        <v>LQ3957</v>
      </c>
      <c r="C1845" t="s">
        <v>1804</v>
      </c>
    </row>
    <row r="1846" spans="1:3" x14ac:dyDescent="0.25">
      <c r="A1846" t="str">
        <f>"0611906678100"</f>
        <v>0611906678100</v>
      </c>
      <c r="B1846" t="str">
        <f>"LQ3958"</f>
        <v>LQ3958</v>
      </c>
      <c r="C1846" t="s">
        <v>1805</v>
      </c>
    </row>
    <row r="1847" spans="1:3" x14ac:dyDescent="0.25">
      <c r="A1847" t="str">
        <f>"0611906679100"</f>
        <v>0611906679100</v>
      </c>
      <c r="B1847" t="str">
        <f>"LQ3959"</f>
        <v>LQ3959</v>
      </c>
      <c r="C1847" t="s">
        <v>1806</v>
      </c>
    </row>
    <row r="1848" spans="1:3" x14ac:dyDescent="0.25">
      <c r="A1848" t="str">
        <f>"0611906680100"</f>
        <v>0611906680100</v>
      </c>
      <c r="B1848" t="str">
        <f>"LQ3960"</f>
        <v>LQ3960</v>
      </c>
      <c r="C1848" t="s">
        <v>1807</v>
      </c>
    </row>
    <row r="1849" spans="1:3" x14ac:dyDescent="0.25">
      <c r="A1849" t="str">
        <f>"0611906681100"</f>
        <v>0611906681100</v>
      </c>
      <c r="B1849" t="str">
        <f>"LQ3961"</f>
        <v>LQ3961</v>
      </c>
      <c r="C1849" t="s">
        <v>1808</v>
      </c>
    </row>
    <row r="1850" spans="1:3" x14ac:dyDescent="0.25">
      <c r="A1850" t="str">
        <f>"0611906682100"</f>
        <v>0611906682100</v>
      </c>
      <c r="B1850" t="str">
        <f>"LQ3962"</f>
        <v>LQ3962</v>
      </c>
      <c r="C1850" t="s">
        <v>1809</v>
      </c>
    </row>
    <row r="1851" spans="1:3" x14ac:dyDescent="0.25">
      <c r="A1851" t="str">
        <f>"0611906683100"</f>
        <v>0611906683100</v>
      </c>
      <c r="B1851" t="str">
        <f>"LQ3963"</f>
        <v>LQ3963</v>
      </c>
      <c r="C1851" t="s">
        <v>1810</v>
      </c>
    </row>
    <row r="1852" spans="1:3" x14ac:dyDescent="0.25">
      <c r="A1852" t="str">
        <f>"0611906684100"</f>
        <v>0611906684100</v>
      </c>
      <c r="B1852" t="str">
        <f>"LQ3964"</f>
        <v>LQ3964</v>
      </c>
      <c r="C1852" t="s">
        <v>1811</v>
      </c>
    </row>
    <row r="1853" spans="1:3" x14ac:dyDescent="0.25">
      <c r="A1853" t="str">
        <f>"0611906685100"</f>
        <v>0611906685100</v>
      </c>
      <c r="B1853" t="str">
        <f>"LQ3965"</f>
        <v>LQ3965</v>
      </c>
      <c r="C1853" t="s">
        <v>1812</v>
      </c>
    </row>
    <row r="1854" spans="1:3" x14ac:dyDescent="0.25">
      <c r="A1854" t="str">
        <f>"0611906686100"</f>
        <v>0611906686100</v>
      </c>
      <c r="B1854" t="str">
        <f>"LQ3966"</f>
        <v>LQ3966</v>
      </c>
      <c r="C1854" t="s">
        <v>1813</v>
      </c>
    </row>
    <row r="1855" spans="1:3" x14ac:dyDescent="0.25">
      <c r="A1855" t="str">
        <f>"0611832074100"</f>
        <v>0611832074100</v>
      </c>
      <c r="B1855" t="str">
        <f>"LQ3319"</f>
        <v>LQ3319</v>
      </c>
      <c r="C1855" t="s">
        <v>1814</v>
      </c>
    </row>
    <row r="1856" spans="1:3" x14ac:dyDescent="0.25">
      <c r="A1856" t="str">
        <f>"0611832075100"</f>
        <v>0611832075100</v>
      </c>
      <c r="B1856" t="str">
        <f>"LQ3291"</f>
        <v>LQ3291</v>
      </c>
      <c r="C1856" t="s">
        <v>1815</v>
      </c>
    </row>
    <row r="1857" spans="1:3" x14ac:dyDescent="0.25">
      <c r="A1857" t="str">
        <f>"0611832076100"</f>
        <v>0611832076100</v>
      </c>
      <c r="B1857" t="str">
        <f>"LQ3292"</f>
        <v>LQ3292</v>
      </c>
      <c r="C1857" t="s">
        <v>1816</v>
      </c>
    </row>
    <row r="1858" spans="1:3" x14ac:dyDescent="0.25">
      <c r="A1858" t="str">
        <f>"0611832077100"</f>
        <v>0611832077100</v>
      </c>
      <c r="B1858" t="str">
        <f>"LQ3320"</f>
        <v>LQ3320</v>
      </c>
      <c r="C1858" t="s">
        <v>1817</v>
      </c>
    </row>
    <row r="1859" spans="1:3" x14ac:dyDescent="0.25">
      <c r="A1859" t="str">
        <f>"0611884072100"</f>
        <v>0611884072100</v>
      </c>
      <c r="B1859" t="str">
        <f>"LQ3911"</f>
        <v>LQ3911</v>
      </c>
      <c r="C1859" t="s">
        <v>1818</v>
      </c>
    </row>
    <row r="1860" spans="1:3" x14ac:dyDescent="0.25">
      <c r="A1860" t="str">
        <f>"0611832078100"</f>
        <v>0611832078100</v>
      </c>
      <c r="B1860" t="str">
        <f>"LQ3322"</f>
        <v>LQ3322</v>
      </c>
      <c r="C1860" t="s">
        <v>1819</v>
      </c>
    </row>
    <row r="1861" spans="1:3" x14ac:dyDescent="0.25">
      <c r="A1861" t="str">
        <f>"0611832079100"</f>
        <v>0611832079100</v>
      </c>
      <c r="B1861" t="str">
        <f>"LQ3323"</f>
        <v>LQ3323</v>
      </c>
      <c r="C1861" t="s">
        <v>1820</v>
      </c>
    </row>
    <row r="1862" spans="1:3" x14ac:dyDescent="0.25">
      <c r="A1862" t="str">
        <f>"0611860798050"</f>
        <v>0611860798050</v>
      </c>
      <c r="B1862" t="str">
        <f>"CR4784"</f>
        <v>CR4784</v>
      </c>
      <c r="C1862" t="s">
        <v>13781</v>
      </c>
    </row>
    <row r="1863" spans="1:3" x14ac:dyDescent="0.25">
      <c r="A1863" t="str">
        <f>"0611860799050"</f>
        <v>0611860799050</v>
      </c>
      <c r="B1863" t="str">
        <f>"CR4010"</f>
        <v>CR4010</v>
      </c>
      <c r="C1863" t="s">
        <v>1821</v>
      </c>
    </row>
    <row r="1864" spans="1:3" x14ac:dyDescent="0.25">
      <c r="A1864" t="str">
        <f>"0611860800050"</f>
        <v>0611860800050</v>
      </c>
      <c r="B1864" t="str">
        <f>"CR4785"</f>
        <v>CR4785</v>
      </c>
      <c r="C1864" t="s">
        <v>1822</v>
      </c>
    </row>
    <row r="1865" spans="1:3" x14ac:dyDescent="0.25">
      <c r="A1865" t="str">
        <f>"0611860801050"</f>
        <v>0611860801050</v>
      </c>
      <c r="B1865" t="str">
        <f>"CR4922"</f>
        <v>CR4922</v>
      </c>
      <c r="C1865" t="s">
        <v>1823</v>
      </c>
    </row>
    <row r="1866" spans="1:3" x14ac:dyDescent="0.25">
      <c r="A1866" t="str">
        <f>"0611860802050"</f>
        <v>0611860802050</v>
      </c>
      <c r="B1866" t="str">
        <f>"CR5146"</f>
        <v>CR5146</v>
      </c>
      <c r="C1866" t="s">
        <v>1824</v>
      </c>
    </row>
    <row r="1867" spans="1:3" x14ac:dyDescent="0.25">
      <c r="A1867" t="str">
        <f>"0611860803050"</f>
        <v>0611860803050</v>
      </c>
      <c r="B1867" t="str">
        <f>"CR5147"</f>
        <v>CR5147</v>
      </c>
      <c r="C1867" t="s">
        <v>1825</v>
      </c>
    </row>
    <row r="1868" spans="1:3" x14ac:dyDescent="0.25">
      <c r="A1868" t="str">
        <f>"0611860804050"</f>
        <v>0611860804050</v>
      </c>
      <c r="B1868" t="str">
        <f>"CR5148"</f>
        <v>CR5148</v>
      </c>
      <c r="C1868" t="s">
        <v>1826</v>
      </c>
    </row>
    <row r="1869" spans="1:3" x14ac:dyDescent="0.25">
      <c r="A1869" t="str">
        <f>"0611860805050"</f>
        <v>0611860805050</v>
      </c>
      <c r="B1869" t="str">
        <f>"CR4923"</f>
        <v>CR4923</v>
      </c>
      <c r="C1869" t="s">
        <v>1827</v>
      </c>
    </row>
    <row r="1870" spans="1:3" x14ac:dyDescent="0.25">
      <c r="A1870" t="str">
        <f>"0611860806050"</f>
        <v>0611860806050</v>
      </c>
      <c r="B1870" t="str">
        <f>"CR4011"</f>
        <v>CR4011</v>
      </c>
      <c r="C1870" t="s">
        <v>13782</v>
      </c>
    </row>
    <row r="1871" spans="1:3" x14ac:dyDescent="0.25">
      <c r="A1871" t="str">
        <f>"0611860807050"</f>
        <v>0611860807050</v>
      </c>
      <c r="B1871" t="str">
        <f>"CR4012"</f>
        <v>CR4012</v>
      </c>
      <c r="C1871" t="s">
        <v>1828</v>
      </c>
    </row>
    <row r="1872" spans="1:3" x14ac:dyDescent="0.25">
      <c r="A1872" t="str">
        <f>"0611860808050"</f>
        <v>0611860808050</v>
      </c>
      <c r="B1872" t="str">
        <f>"CR4013"</f>
        <v>CR4013</v>
      </c>
      <c r="C1872" t="s">
        <v>1829</v>
      </c>
    </row>
    <row r="1873" spans="1:3" x14ac:dyDescent="0.25">
      <c r="A1873" t="str">
        <f>"0611860809050"</f>
        <v>0611860809050</v>
      </c>
      <c r="B1873" t="str">
        <f>"CR4786"</f>
        <v>CR4786</v>
      </c>
      <c r="C1873" t="s">
        <v>13783</v>
      </c>
    </row>
    <row r="1874" spans="1:3" x14ac:dyDescent="0.25">
      <c r="A1874" t="str">
        <f>"0611860810050"</f>
        <v>0611860810050</v>
      </c>
      <c r="B1874" t="str">
        <f>"CR4014"</f>
        <v>CR4014</v>
      </c>
      <c r="C1874" t="s">
        <v>1830</v>
      </c>
    </row>
    <row r="1875" spans="1:3" x14ac:dyDescent="0.25">
      <c r="A1875" t="str">
        <f>"0611860811050"</f>
        <v>0611860811050</v>
      </c>
      <c r="B1875" t="str">
        <f>"CR4015"</f>
        <v>CR4015</v>
      </c>
      <c r="C1875" t="s">
        <v>1831</v>
      </c>
    </row>
    <row r="1876" spans="1:3" x14ac:dyDescent="0.25">
      <c r="A1876" t="str">
        <f>"0611860812050"</f>
        <v>0611860812050</v>
      </c>
      <c r="B1876" t="str">
        <f>"CR4016"</f>
        <v>CR4016</v>
      </c>
      <c r="C1876" t="s">
        <v>1832</v>
      </c>
    </row>
    <row r="1877" spans="1:3" x14ac:dyDescent="0.25">
      <c r="A1877" t="str">
        <f>"0611860813050"</f>
        <v>0611860813050</v>
      </c>
      <c r="B1877" t="str">
        <f>"CR4017"</f>
        <v>CR4017</v>
      </c>
      <c r="C1877" t="s">
        <v>1833</v>
      </c>
    </row>
    <row r="1878" spans="1:3" x14ac:dyDescent="0.25">
      <c r="A1878" t="str">
        <f>"0611860814050"</f>
        <v>0611860814050</v>
      </c>
      <c r="B1878" t="str">
        <f>"CR5149"</f>
        <v>CR5149</v>
      </c>
      <c r="C1878" t="s">
        <v>1834</v>
      </c>
    </row>
    <row r="1879" spans="1:3" x14ac:dyDescent="0.25">
      <c r="A1879" t="str">
        <f>"0611860815050"</f>
        <v>0611860815050</v>
      </c>
      <c r="B1879" t="str">
        <f>"CR4924"</f>
        <v>CR4924</v>
      </c>
      <c r="C1879" t="s">
        <v>1835</v>
      </c>
    </row>
    <row r="1880" spans="1:3" x14ac:dyDescent="0.25">
      <c r="A1880" t="str">
        <f>"0611860816050"</f>
        <v>0611860816050</v>
      </c>
      <c r="B1880" t="str">
        <f>"CR4018"</f>
        <v>CR4018</v>
      </c>
      <c r="C1880" t="s">
        <v>1836</v>
      </c>
    </row>
    <row r="1881" spans="1:3" x14ac:dyDescent="0.25">
      <c r="A1881" t="str">
        <f>"0611860817050"</f>
        <v>0611860817050</v>
      </c>
      <c r="B1881" t="str">
        <f>"CR4019"</f>
        <v>CR4019</v>
      </c>
      <c r="C1881" t="s">
        <v>13784</v>
      </c>
    </row>
    <row r="1882" spans="1:3" x14ac:dyDescent="0.25">
      <c r="A1882" t="str">
        <f>"0611860818050"</f>
        <v>0611860818050</v>
      </c>
      <c r="B1882" t="str">
        <f>"CR4020"</f>
        <v>CR4020</v>
      </c>
      <c r="C1882" t="s">
        <v>1837</v>
      </c>
    </row>
    <row r="1883" spans="1:3" x14ac:dyDescent="0.25">
      <c r="A1883" t="str">
        <f>"0611860819050"</f>
        <v>0611860819050</v>
      </c>
      <c r="B1883" t="str">
        <f>"CR4021"</f>
        <v>CR4021</v>
      </c>
      <c r="C1883" t="s">
        <v>13785</v>
      </c>
    </row>
    <row r="1884" spans="1:3" x14ac:dyDescent="0.25">
      <c r="A1884" t="str">
        <f>"0611860820050"</f>
        <v>0611860820050</v>
      </c>
      <c r="B1884" t="str">
        <f>"CR4787"</f>
        <v>CR4787</v>
      </c>
      <c r="C1884" t="s">
        <v>1838</v>
      </c>
    </row>
    <row r="1885" spans="1:3" x14ac:dyDescent="0.25">
      <c r="A1885" t="str">
        <f>"0611832081100"</f>
        <v>0611832081100</v>
      </c>
      <c r="B1885" t="str">
        <f>"LQ0865"</f>
        <v>LQ0865</v>
      </c>
      <c r="C1885" t="s">
        <v>1839</v>
      </c>
    </row>
    <row r="1886" spans="1:3" x14ac:dyDescent="0.25">
      <c r="A1886" t="str">
        <f>"0611860823050"</f>
        <v>0611860823050</v>
      </c>
      <c r="B1886" t="str">
        <f>"CR5150"</f>
        <v>CR5150</v>
      </c>
      <c r="C1886" t="s">
        <v>1840</v>
      </c>
    </row>
    <row r="1887" spans="1:3" x14ac:dyDescent="0.25">
      <c r="A1887" t="str">
        <f>"0611860824050"</f>
        <v>0611860824050</v>
      </c>
      <c r="B1887" t="str">
        <f>"CR5151"</f>
        <v>CR5151</v>
      </c>
      <c r="C1887" t="s">
        <v>1841</v>
      </c>
    </row>
    <row r="1888" spans="1:3" x14ac:dyDescent="0.25">
      <c r="A1888" t="str">
        <f>"0611860825050"</f>
        <v>0611860825050</v>
      </c>
      <c r="B1888" t="str">
        <f>"CR5152"</f>
        <v>CR5152</v>
      </c>
      <c r="C1888" t="s">
        <v>1842</v>
      </c>
    </row>
    <row r="1889" spans="1:3" x14ac:dyDescent="0.25">
      <c r="A1889" t="str">
        <f>"0611860826050"</f>
        <v>0611860826050</v>
      </c>
      <c r="B1889" t="str">
        <f>"CR4024"</f>
        <v>CR4024</v>
      </c>
      <c r="C1889" t="s">
        <v>13786</v>
      </c>
    </row>
    <row r="1890" spans="1:3" x14ac:dyDescent="0.25">
      <c r="A1890" t="str">
        <f>"0611860829050"</f>
        <v>0611860829050</v>
      </c>
      <c r="B1890" t="str">
        <f>"CE0809"</f>
        <v>CE0809</v>
      </c>
      <c r="C1890" t="s">
        <v>1843</v>
      </c>
    </row>
    <row r="1891" spans="1:3" x14ac:dyDescent="0.25">
      <c r="A1891" t="str">
        <f>"0611860830050"</f>
        <v>0611860830050</v>
      </c>
      <c r="B1891" t="str">
        <f>"CE1269"</f>
        <v>CE1269</v>
      </c>
      <c r="C1891" t="s">
        <v>1844</v>
      </c>
    </row>
    <row r="1892" spans="1:3" x14ac:dyDescent="0.25">
      <c r="A1892" t="str">
        <f>"0611893349050"</f>
        <v>0611893349050</v>
      </c>
      <c r="B1892" t="str">
        <f>"CE1762"</f>
        <v>CE1762</v>
      </c>
      <c r="C1892" t="s">
        <v>1845</v>
      </c>
    </row>
    <row r="1893" spans="1:3" x14ac:dyDescent="0.25">
      <c r="A1893" t="str">
        <f>"0611860831050"</f>
        <v>0611860831050</v>
      </c>
      <c r="B1893" t="str">
        <f>"CE0810"</f>
        <v>CE0810</v>
      </c>
      <c r="C1893" t="s">
        <v>1846</v>
      </c>
    </row>
    <row r="1894" spans="1:3" x14ac:dyDescent="0.25">
      <c r="A1894" t="str">
        <f>"0611860832050"</f>
        <v>0611860832050</v>
      </c>
      <c r="B1894" t="str">
        <f>"CE1214"</f>
        <v>CE1214</v>
      </c>
      <c r="C1894" t="s">
        <v>1847</v>
      </c>
    </row>
    <row r="1895" spans="1:3" x14ac:dyDescent="0.25">
      <c r="A1895" t="str">
        <f>"0611884073050"</f>
        <v>0611884073050</v>
      </c>
      <c r="B1895" t="str">
        <f>"CE0397"</f>
        <v>CE0397</v>
      </c>
      <c r="C1895" t="s">
        <v>1848</v>
      </c>
    </row>
    <row r="1896" spans="1:3" x14ac:dyDescent="0.25">
      <c r="A1896" t="str">
        <f>"0611860833050"</f>
        <v>0611860833050</v>
      </c>
      <c r="B1896" t="str">
        <f>"CE1085"</f>
        <v>CE1085</v>
      </c>
      <c r="C1896" t="s">
        <v>1849</v>
      </c>
    </row>
    <row r="1897" spans="1:3" x14ac:dyDescent="0.25">
      <c r="A1897" t="str">
        <f>"0611884074050"</f>
        <v>0611884074050</v>
      </c>
      <c r="B1897" t="str">
        <f>"CE1727"</f>
        <v>CE1727</v>
      </c>
      <c r="C1897" t="s">
        <v>1850</v>
      </c>
    </row>
    <row r="1898" spans="1:3" x14ac:dyDescent="0.25">
      <c r="A1898" t="str">
        <f>"0611860834050"</f>
        <v>0611860834050</v>
      </c>
      <c r="B1898" t="str">
        <f>"CE1177"</f>
        <v>CE1177</v>
      </c>
      <c r="C1898" t="s">
        <v>1851</v>
      </c>
    </row>
    <row r="1899" spans="1:3" x14ac:dyDescent="0.25">
      <c r="A1899" t="str">
        <f>"0611860835050"</f>
        <v>0611860835050</v>
      </c>
      <c r="B1899" t="str">
        <f>"CE1299"</f>
        <v>CE1299</v>
      </c>
      <c r="C1899" t="s">
        <v>1852</v>
      </c>
    </row>
    <row r="1900" spans="1:3" x14ac:dyDescent="0.25">
      <c r="A1900" t="str">
        <f>"0611860837050"</f>
        <v>0611860837050</v>
      </c>
      <c r="B1900" t="str">
        <f>"CE1271"</f>
        <v>CE1271</v>
      </c>
      <c r="C1900" t="s">
        <v>1853</v>
      </c>
    </row>
    <row r="1901" spans="1:3" x14ac:dyDescent="0.25">
      <c r="A1901" t="str">
        <f>"0611860838050"</f>
        <v>0611860838050</v>
      </c>
      <c r="B1901" t="str">
        <f>"CE0399"</f>
        <v>CE0399</v>
      </c>
      <c r="C1901" t="s">
        <v>1854</v>
      </c>
    </row>
    <row r="1902" spans="1:3" x14ac:dyDescent="0.25">
      <c r="A1902" t="str">
        <f>"0611860839050"</f>
        <v>0611860839050</v>
      </c>
      <c r="B1902" t="str">
        <f>"CE1644"</f>
        <v>CE1644</v>
      </c>
      <c r="C1902" t="s">
        <v>1855</v>
      </c>
    </row>
    <row r="1903" spans="1:3" x14ac:dyDescent="0.25">
      <c r="A1903" t="str">
        <f>"0611860840050"</f>
        <v>0611860840050</v>
      </c>
      <c r="B1903" t="str">
        <f>"CE1645"</f>
        <v>CE1645</v>
      </c>
      <c r="C1903" t="s">
        <v>1856</v>
      </c>
    </row>
    <row r="1904" spans="1:3" x14ac:dyDescent="0.25">
      <c r="A1904" t="str">
        <f>"0611860841050"</f>
        <v>0611860841050</v>
      </c>
      <c r="B1904" t="str">
        <f>"CE1591"</f>
        <v>CE1591</v>
      </c>
      <c r="C1904" t="s">
        <v>1857</v>
      </c>
    </row>
    <row r="1905" spans="1:3" x14ac:dyDescent="0.25">
      <c r="A1905" t="str">
        <f>"0611860842050"</f>
        <v>0611860842050</v>
      </c>
      <c r="B1905" t="str">
        <f>"CE0400"</f>
        <v>CE0400</v>
      </c>
      <c r="C1905" t="s">
        <v>1858</v>
      </c>
    </row>
    <row r="1906" spans="1:3" x14ac:dyDescent="0.25">
      <c r="A1906" t="str">
        <f>"0611860843050"</f>
        <v>0611860843050</v>
      </c>
      <c r="B1906" t="str">
        <f>"CE0401"</f>
        <v>CE0401</v>
      </c>
      <c r="C1906" t="s">
        <v>1859</v>
      </c>
    </row>
    <row r="1907" spans="1:3" x14ac:dyDescent="0.25">
      <c r="A1907" t="str">
        <f>"0611860844050"</f>
        <v>0611860844050</v>
      </c>
      <c r="B1907" t="str">
        <f>"CE0402"</f>
        <v>CE0402</v>
      </c>
      <c r="C1907" t="s">
        <v>1860</v>
      </c>
    </row>
    <row r="1908" spans="1:3" x14ac:dyDescent="0.25">
      <c r="A1908" t="str">
        <f>"0611860845050"</f>
        <v>0611860845050</v>
      </c>
      <c r="B1908" t="str">
        <f>"CE0403"</f>
        <v>CE0403</v>
      </c>
      <c r="C1908" t="s">
        <v>1861</v>
      </c>
    </row>
    <row r="1909" spans="1:3" x14ac:dyDescent="0.25">
      <c r="A1909" t="str">
        <f>"0611860847050"</f>
        <v>0611860847050</v>
      </c>
      <c r="B1909" t="str">
        <f>"CE0811"</f>
        <v>CE0811</v>
      </c>
      <c r="C1909" t="s">
        <v>1862</v>
      </c>
    </row>
    <row r="1910" spans="1:3" x14ac:dyDescent="0.25">
      <c r="A1910" t="str">
        <f>"0611860848050"</f>
        <v>0611860848050</v>
      </c>
      <c r="B1910" t="str">
        <f>"CE1476"</f>
        <v>CE1476</v>
      </c>
      <c r="C1910" t="s">
        <v>1863</v>
      </c>
    </row>
    <row r="1911" spans="1:3" x14ac:dyDescent="0.25">
      <c r="A1911" t="str">
        <f>"0611860850050"</f>
        <v>0611860850050</v>
      </c>
      <c r="B1911" t="str">
        <f>"CE0406"</f>
        <v>CE0406</v>
      </c>
      <c r="C1911" t="s">
        <v>1864</v>
      </c>
    </row>
    <row r="1912" spans="1:3" x14ac:dyDescent="0.25">
      <c r="A1912" t="str">
        <f>"0611860851050"</f>
        <v>0611860851050</v>
      </c>
      <c r="B1912" t="str">
        <f>"CE1592"</f>
        <v>CE1592</v>
      </c>
      <c r="C1912" t="s">
        <v>1865</v>
      </c>
    </row>
    <row r="1913" spans="1:3" x14ac:dyDescent="0.25">
      <c r="A1913" t="str">
        <f>"0611860852050"</f>
        <v>0611860852050</v>
      </c>
      <c r="B1913" t="str">
        <f>"CE1629"</f>
        <v>CE1629</v>
      </c>
      <c r="C1913" t="s">
        <v>1869</v>
      </c>
    </row>
    <row r="1914" spans="1:3" x14ac:dyDescent="0.25">
      <c r="A1914" t="str">
        <f>"0611860853050"</f>
        <v>0611860853050</v>
      </c>
      <c r="B1914" t="str">
        <f>"CE1300"</f>
        <v>CE1300</v>
      </c>
      <c r="C1914" t="s">
        <v>1866</v>
      </c>
    </row>
    <row r="1915" spans="1:3" x14ac:dyDescent="0.25">
      <c r="A1915" t="str">
        <f>"0611860854050"</f>
        <v>0611860854050</v>
      </c>
      <c r="B1915" t="str">
        <f>"CE1178"</f>
        <v>CE1178</v>
      </c>
      <c r="C1915" t="s">
        <v>1867</v>
      </c>
    </row>
    <row r="1916" spans="1:3" x14ac:dyDescent="0.25">
      <c r="A1916" t="str">
        <f>"0611860855050"</f>
        <v>0611860855050</v>
      </c>
      <c r="B1916" t="str">
        <f>"CE0409"</f>
        <v>CE0409</v>
      </c>
      <c r="C1916" t="s">
        <v>1868</v>
      </c>
    </row>
    <row r="1917" spans="1:3" x14ac:dyDescent="0.25">
      <c r="A1917" t="str">
        <f>"0611860856050"</f>
        <v>0611860856050</v>
      </c>
      <c r="B1917" t="str">
        <f>"CE1272"</f>
        <v>CE1272</v>
      </c>
      <c r="C1917" t="s">
        <v>1870</v>
      </c>
    </row>
    <row r="1918" spans="1:3" x14ac:dyDescent="0.25">
      <c r="A1918" t="str">
        <f>"0611893350050"</f>
        <v>0611893350050</v>
      </c>
      <c r="B1918" t="str">
        <f>"CE1763"</f>
        <v>CE1763</v>
      </c>
      <c r="C1918" t="s">
        <v>1871</v>
      </c>
    </row>
    <row r="1919" spans="1:3" x14ac:dyDescent="0.25">
      <c r="A1919" t="str">
        <f>"0611860857050"</f>
        <v>0611860857050</v>
      </c>
      <c r="B1919" t="str">
        <f>"CE1273"</f>
        <v>CE1273</v>
      </c>
      <c r="C1919" t="s">
        <v>1872</v>
      </c>
    </row>
    <row r="1920" spans="1:3" x14ac:dyDescent="0.25">
      <c r="A1920" t="str">
        <f>"0611860858050"</f>
        <v>0611860858050</v>
      </c>
      <c r="B1920" t="str">
        <f>"CE0410"</f>
        <v>CE0410</v>
      </c>
      <c r="C1920" t="s">
        <v>1873</v>
      </c>
    </row>
    <row r="1921" spans="1:3" x14ac:dyDescent="0.25">
      <c r="A1921" t="str">
        <f>"0611860859050"</f>
        <v>0611860859050</v>
      </c>
      <c r="B1921" t="str">
        <f>"CE0411"</f>
        <v>CE0411</v>
      </c>
      <c r="C1921" t="s">
        <v>1874</v>
      </c>
    </row>
    <row r="1922" spans="1:3" x14ac:dyDescent="0.25">
      <c r="A1922" t="str">
        <f>"0611860860050"</f>
        <v>0611860860050</v>
      </c>
      <c r="B1922" t="str">
        <f>"CE0398"</f>
        <v>CE0398</v>
      </c>
      <c r="C1922" t="s">
        <v>1875</v>
      </c>
    </row>
    <row r="1923" spans="1:3" x14ac:dyDescent="0.25">
      <c r="A1923" t="str">
        <f>"0611832085100"</f>
        <v>0611832085100</v>
      </c>
      <c r="B1923" t="str">
        <f>"LQ3826"</f>
        <v>LQ3826</v>
      </c>
      <c r="C1923" t="s">
        <v>1876</v>
      </c>
    </row>
    <row r="1924" spans="1:3" x14ac:dyDescent="0.25">
      <c r="A1924" t="str">
        <f>"0611860861050"</f>
        <v>0611860861050</v>
      </c>
      <c r="B1924" t="str">
        <f>"CR4925"</f>
        <v>CR4925</v>
      </c>
      <c r="C1924" t="s">
        <v>1877</v>
      </c>
    </row>
    <row r="1925" spans="1:3" x14ac:dyDescent="0.25">
      <c r="A1925" t="str">
        <f>"0611832118100"</f>
        <v>0611832118100</v>
      </c>
      <c r="B1925" t="str">
        <f>"LQ0785"</f>
        <v>LQ0785</v>
      </c>
      <c r="C1925" t="s">
        <v>1878</v>
      </c>
    </row>
    <row r="1926" spans="1:3" x14ac:dyDescent="0.25">
      <c r="A1926" t="str">
        <f>"0611860862050"</f>
        <v>0611860862050</v>
      </c>
      <c r="B1926" t="str">
        <f>"CR3487"</f>
        <v>CR3487</v>
      </c>
      <c r="C1926" t="s">
        <v>1879</v>
      </c>
    </row>
    <row r="1927" spans="1:3" x14ac:dyDescent="0.25">
      <c r="A1927" t="str">
        <f>"0611832086100"</f>
        <v>0611832086100</v>
      </c>
      <c r="B1927" t="str">
        <f>"LQ3390"</f>
        <v>LQ3390</v>
      </c>
      <c r="C1927" t="s">
        <v>1880</v>
      </c>
    </row>
    <row r="1928" spans="1:3" x14ac:dyDescent="0.25">
      <c r="A1928" t="str">
        <f>"0611860863050"</f>
        <v>0611860863050</v>
      </c>
      <c r="B1928" t="str">
        <f>"CR3488"</f>
        <v>CR3488</v>
      </c>
      <c r="C1928" t="s">
        <v>1881</v>
      </c>
    </row>
    <row r="1929" spans="1:3" x14ac:dyDescent="0.25">
      <c r="A1929" t="str">
        <f>"0611832087100"</f>
        <v>0611832087100</v>
      </c>
      <c r="B1929" t="str">
        <f>"LQ3734"</f>
        <v>LQ3734</v>
      </c>
      <c r="C1929" t="s">
        <v>1882</v>
      </c>
    </row>
    <row r="1930" spans="1:3" x14ac:dyDescent="0.25">
      <c r="A1930" t="str">
        <f>"0611860864050"</f>
        <v>0611860864050</v>
      </c>
      <c r="B1930" t="str">
        <f>"CR4788"</f>
        <v>CR4788</v>
      </c>
      <c r="C1930" t="s">
        <v>1883</v>
      </c>
    </row>
    <row r="1931" spans="1:3" x14ac:dyDescent="0.25">
      <c r="A1931" t="str">
        <f>"0611832119100"</f>
        <v>0611832119100</v>
      </c>
      <c r="B1931" t="str">
        <f>"LQ3735"</f>
        <v>LQ3735</v>
      </c>
      <c r="C1931" t="s">
        <v>1884</v>
      </c>
    </row>
    <row r="1932" spans="1:3" x14ac:dyDescent="0.25">
      <c r="A1932" t="str">
        <f>"0611832088100"</f>
        <v>0611832088100</v>
      </c>
      <c r="B1932" t="str">
        <f>"LQ3391"</f>
        <v>LQ3391</v>
      </c>
      <c r="C1932" t="s">
        <v>1885</v>
      </c>
    </row>
    <row r="1933" spans="1:3" x14ac:dyDescent="0.25">
      <c r="A1933" t="str">
        <f>"0611860865050"</f>
        <v>0611860865050</v>
      </c>
      <c r="B1933" t="str">
        <f>"CR3489"</f>
        <v>CR3489</v>
      </c>
      <c r="C1933" t="s">
        <v>1886</v>
      </c>
    </row>
    <row r="1934" spans="1:3" x14ac:dyDescent="0.25">
      <c r="A1934" t="str">
        <f>"0611832089100"</f>
        <v>0611832089100</v>
      </c>
      <c r="B1934" t="str">
        <f>"LQ3574"</f>
        <v>LQ3574</v>
      </c>
      <c r="C1934" t="s">
        <v>1887</v>
      </c>
    </row>
    <row r="1935" spans="1:3" x14ac:dyDescent="0.25">
      <c r="A1935" t="str">
        <f>"0611860866050"</f>
        <v>0611860866050</v>
      </c>
      <c r="B1935" t="str">
        <f>"CR3854"</f>
        <v>CR3854</v>
      </c>
      <c r="C1935" t="s">
        <v>1888</v>
      </c>
    </row>
    <row r="1936" spans="1:3" x14ac:dyDescent="0.25">
      <c r="A1936" t="str">
        <f>"0611832090100"</f>
        <v>0611832090100</v>
      </c>
      <c r="B1936" t="str">
        <f>"LQ3739"</f>
        <v>LQ3739</v>
      </c>
      <c r="C1936" t="s">
        <v>1889</v>
      </c>
    </row>
    <row r="1937" spans="1:3" x14ac:dyDescent="0.25">
      <c r="A1937" t="str">
        <f>"0611860867050"</f>
        <v>0611860867050</v>
      </c>
      <c r="B1937" t="str">
        <f>"CR4091"</f>
        <v>CR4091</v>
      </c>
      <c r="C1937" t="s">
        <v>1890</v>
      </c>
    </row>
    <row r="1938" spans="1:3" x14ac:dyDescent="0.25">
      <c r="A1938" t="str">
        <f>"0611832091100"</f>
        <v>0611832091100</v>
      </c>
      <c r="B1938" t="str">
        <f>"LQ0869"</f>
        <v>LQ0869</v>
      </c>
      <c r="C1938" t="s">
        <v>1891</v>
      </c>
    </row>
    <row r="1939" spans="1:3" x14ac:dyDescent="0.25">
      <c r="A1939" t="str">
        <f>"0611860868050"</f>
        <v>0611860868050</v>
      </c>
      <c r="B1939" t="str">
        <f>"CR4926"</f>
        <v>CR4926</v>
      </c>
      <c r="C1939" t="s">
        <v>1892</v>
      </c>
    </row>
    <row r="1940" spans="1:3" x14ac:dyDescent="0.25">
      <c r="A1940" t="str">
        <f>"0611860869050"</f>
        <v>0611860869050</v>
      </c>
      <c r="B1940" t="str">
        <f>"CR3490"</f>
        <v>CR3490</v>
      </c>
      <c r="C1940" t="s">
        <v>1893</v>
      </c>
    </row>
    <row r="1941" spans="1:3" x14ac:dyDescent="0.25">
      <c r="A1941" t="str">
        <f>"0611856851100"</f>
        <v>0611856851100</v>
      </c>
      <c r="B1941" t="str">
        <f>"LQ3878"</f>
        <v>LQ3878</v>
      </c>
      <c r="C1941" t="s">
        <v>1894</v>
      </c>
    </row>
    <row r="1942" spans="1:3" x14ac:dyDescent="0.25">
      <c r="A1942" t="str">
        <f>"0611860870050"</f>
        <v>0611860870050</v>
      </c>
      <c r="B1942" t="str">
        <f>"CR2588"</f>
        <v>CR2588</v>
      </c>
      <c r="C1942" t="s">
        <v>1903</v>
      </c>
    </row>
    <row r="1943" spans="1:3" x14ac:dyDescent="0.25">
      <c r="A1943" t="str">
        <f>"0611832096100"</f>
        <v>0611832096100</v>
      </c>
      <c r="B1943" t="str">
        <f>"LQ3576"</f>
        <v>LQ3576</v>
      </c>
      <c r="C1943" t="s">
        <v>1895</v>
      </c>
    </row>
    <row r="1944" spans="1:3" x14ac:dyDescent="0.25">
      <c r="A1944" t="str">
        <f>"0611860872050"</f>
        <v>0611860872050</v>
      </c>
      <c r="B1944" t="str">
        <f>"CR4033"</f>
        <v>CR4033</v>
      </c>
      <c r="C1944" t="s">
        <v>1896</v>
      </c>
    </row>
    <row r="1945" spans="1:3" x14ac:dyDescent="0.25">
      <c r="A1945" t="str">
        <f>"0611832097100"</f>
        <v>0611832097100</v>
      </c>
      <c r="B1945" t="str">
        <f>"LQ3828"</f>
        <v>LQ3828</v>
      </c>
      <c r="C1945" t="s">
        <v>1897</v>
      </c>
    </row>
    <row r="1946" spans="1:3" x14ac:dyDescent="0.25">
      <c r="A1946" t="str">
        <f>"0611860873050"</f>
        <v>0611860873050</v>
      </c>
      <c r="B1946" t="str">
        <f>"CR4927"</f>
        <v>CR4927</v>
      </c>
      <c r="C1946" t="s">
        <v>1898</v>
      </c>
    </row>
    <row r="1947" spans="1:3" x14ac:dyDescent="0.25">
      <c r="A1947" t="str">
        <f>"0611832099100"</f>
        <v>0611832099100</v>
      </c>
      <c r="B1947" t="str">
        <f>"LQ3736"</f>
        <v>LQ3736</v>
      </c>
      <c r="C1947" t="s">
        <v>1899</v>
      </c>
    </row>
    <row r="1948" spans="1:3" x14ac:dyDescent="0.25">
      <c r="A1948" t="str">
        <f>"0611860874050"</f>
        <v>0611860874050</v>
      </c>
      <c r="B1948" t="str">
        <f>"CR4789"</f>
        <v>CR4789</v>
      </c>
      <c r="C1948" t="s">
        <v>1900</v>
      </c>
    </row>
    <row r="1949" spans="1:3" x14ac:dyDescent="0.25">
      <c r="A1949" t="str">
        <f>"0611860875050"</f>
        <v>0611860875050</v>
      </c>
      <c r="B1949" t="str">
        <f>"CR4928"</f>
        <v>CR4928</v>
      </c>
      <c r="C1949" t="s">
        <v>1901</v>
      </c>
    </row>
    <row r="1950" spans="1:3" x14ac:dyDescent="0.25">
      <c r="A1950" t="str">
        <f>"0611832100100"</f>
        <v>0611832100100</v>
      </c>
      <c r="B1950" t="str">
        <f>"LQ3514"</f>
        <v>LQ3514</v>
      </c>
      <c r="C1950" t="s">
        <v>1902</v>
      </c>
    </row>
    <row r="1951" spans="1:3" x14ac:dyDescent="0.25">
      <c r="A1951" t="str">
        <f>"0611832101100"</f>
        <v>0611832101100</v>
      </c>
      <c r="B1951" t="str">
        <f>"LQ3515"</f>
        <v>LQ3515</v>
      </c>
      <c r="C1951" t="s">
        <v>1904</v>
      </c>
    </row>
    <row r="1952" spans="1:3" x14ac:dyDescent="0.25">
      <c r="A1952" t="str">
        <f>"0611832102100"</f>
        <v>0611832102100</v>
      </c>
      <c r="B1952" t="str">
        <f>"LQ3737"</f>
        <v>LQ3737</v>
      </c>
      <c r="C1952" t="s">
        <v>1905</v>
      </c>
    </row>
    <row r="1953" spans="1:3" x14ac:dyDescent="0.25">
      <c r="A1953" t="str">
        <f>"0611860877050"</f>
        <v>0611860877050</v>
      </c>
      <c r="B1953" t="str">
        <f>"CR4790"</f>
        <v>CR4790</v>
      </c>
      <c r="C1953" t="s">
        <v>1906</v>
      </c>
    </row>
    <row r="1954" spans="1:3" x14ac:dyDescent="0.25">
      <c r="A1954" t="str">
        <f>"0611832103100"</f>
        <v>0611832103100</v>
      </c>
      <c r="B1954" t="str">
        <f>"LQ3829"</f>
        <v>LQ3829</v>
      </c>
      <c r="C1954" t="s">
        <v>1907</v>
      </c>
    </row>
    <row r="1955" spans="1:3" x14ac:dyDescent="0.25">
      <c r="A1955" t="str">
        <f>"0611860878050"</f>
        <v>0611860878050</v>
      </c>
      <c r="B1955" t="str">
        <f>"CR4929"</f>
        <v>CR4929</v>
      </c>
      <c r="C1955" t="s">
        <v>1908</v>
      </c>
    </row>
    <row r="1956" spans="1:3" x14ac:dyDescent="0.25">
      <c r="A1956" t="str">
        <f>"0611832104100"</f>
        <v>0611832104100</v>
      </c>
      <c r="B1956" t="str">
        <f>"LQ3578"</f>
        <v>LQ3578</v>
      </c>
      <c r="C1956" t="s">
        <v>1909</v>
      </c>
    </row>
    <row r="1957" spans="1:3" x14ac:dyDescent="0.25">
      <c r="A1957" t="str">
        <f>"0611860879050"</f>
        <v>0611860879050</v>
      </c>
      <c r="B1957" t="str">
        <f>"CR3042"</f>
        <v>CR3042</v>
      </c>
      <c r="C1957" t="s">
        <v>1910</v>
      </c>
    </row>
    <row r="1958" spans="1:3" x14ac:dyDescent="0.25">
      <c r="A1958" t="str">
        <f>"0611832105100"</f>
        <v>0611832105100</v>
      </c>
      <c r="B1958" t="str">
        <f>"LQ0934"</f>
        <v>LQ0934</v>
      </c>
      <c r="C1958" t="s">
        <v>1911</v>
      </c>
    </row>
    <row r="1959" spans="1:3" x14ac:dyDescent="0.25">
      <c r="A1959" t="str">
        <f>"0611860880050"</f>
        <v>0611860880050</v>
      </c>
      <c r="B1959" t="str">
        <f>"CR4930"</f>
        <v>CR4930</v>
      </c>
      <c r="C1959" t="s">
        <v>1912</v>
      </c>
    </row>
    <row r="1960" spans="1:3" x14ac:dyDescent="0.25">
      <c r="A1960" t="str">
        <f>"0611860881050"</f>
        <v>0611860881050</v>
      </c>
      <c r="B1960" t="str">
        <f>"CR4034"</f>
        <v>CR4034</v>
      </c>
      <c r="C1960" t="s">
        <v>1913</v>
      </c>
    </row>
    <row r="1961" spans="1:3" x14ac:dyDescent="0.25">
      <c r="A1961" t="str">
        <f>"0611832107100"</f>
        <v>0611832107100</v>
      </c>
      <c r="B1961" t="str">
        <f>"LQ3738"</f>
        <v>LQ3738</v>
      </c>
      <c r="C1961" t="s">
        <v>1914</v>
      </c>
    </row>
    <row r="1962" spans="1:3" x14ac:dyDescent="0.25">
      <c r="A1962" t="str">
        <f>"0611860882050"</f>
        <v>0611860882050</v>
      </c>
      <c r="B1962" t="str">
        <f>"CR4791"</f>
        <v>CR4791</v>
      </c>
      <c r="C1962" t="s">
        <v>1915</v>
      </c>
    </row>
    <row r="1963" spans="1:3" x14ac:dyDescent="0.25">
      <c r="A1963" t="str">
        <f>"0611832108100"</f>
        <v>0611832108100</v>
      </c>
      <c r="B1963" t="str">
        <f>"LQ3516"</f>
        <v>LQ3516</v>
      </c>
      <c r="C1963" t="s">
        <v>1916</v>
      </c>
    </row>
    <row r="1964" spans="1:3" x14ac:dyDescent="0.25">
      <c r="A1964" t="str">
        <f>"0611860883050"</f>
        <v>0611860883050</v>
      </c>
      <c r="B1964" t="str">
        <f>"CR3491"</f>
        <v>CR3491</v>
      </c>
      <c r="C1964" t="s">
        <v>1917</v>
      </c>
    </row>
    <row r="1965" spans="1:3" x14ac:dyDescent="0.25">
      <c r="A1965" t="str">
        <f>"0611860884050"</f>
        <v>0611860884050</v>
      </c>
      <c r="B1965" t="str">
        <f>"CR2589"</f>
        <v>CR2589</v>
      </c>
      <c r="C1965" t="s">
        <v>1918</v>
      </c>
    </row>
    <row r="1966" spans="1:3" x14ac:dyDescent="0.25">
      <c r="A1966" t="str">
        <f>"0611906687100"</f>
        <v>0611906687100</v>
      </c>
      <c r="B1966" t="str">
        <f>"LQ3967"</f>
        <v>LQ3967</v>
      </c>
      <c r="C1966" t="s">
        <v>1919</v>
      </c>
    </row>
    <row r="1967" spans="1:3" x14ac:dyDescent="0.25">
      <c r="A1967" t="str">
        <f>"0611860886050"</f>
        <v>0611860886050</v>
      </c>
      <c r="B1967" t="str">
        <f>"CR5155"</f>
        <v>CR5155</v>
      </c>
      <c r="C1967" t="s">
        <v>1920</v>
      </c>
    </row>
    <row r="1968" spans="1:3" x14ac:dyDescent="0.25">
      <c r="A1968" t="str">
        <f>"0611860887050"</f>
        <v>0611860887050</v>
      </c>
      <c r="B1968" t="str">
        <f>"CR2094"</f>
        <v>CR2094</v>
      </c>
      <c r="C1968" t="s">
        <v>1921</v>
      </c>
    </row>
    <row r="1969" spans="1:3" x14ac:dyDescent="0.25">
      <c r="A1969" t="str">
        <f>"0611860888050"</f>
        <v>0611860888050</v>
      </c>
      <c r="B1969" t="str">
        <f>"CR2095"</f>
        <v>CR2095</v>
      </c>
      <c r="C1969" t="s">
        <v>1922</v>
      </c>
    </row>
    <row r="1970" spans="1:3" x14ac:dyDescent="0.25">
      <c r="A1970" t="str">
        <f>"0611856852100"</f>
        <v>0611856852100</v>
      </c>
      <c r="B1970" t="str">
        <f>"LQ3879"</f>
        <v>LQ3879</v>
      </c>
      <c r="C1970" t="s">
        <v>1923</v>
      </c>
    </row>
    <row r="1971" spans="1:3" x14ac:dyDescent="0.25">
      <c r="A1971" t="str">
        <f>"0611860890050"</f>
        <v>0611860890050</v>
      </c>
      <c r="B1971" t="str">
        <f>"CR4035"</f>
        <v>CR4035</v>
      </c>
      <c r="C1971" t="s">
        <v>1924</v>
      </c>
    </row>
    <row r="1972" spans="1:3" x14ac:dyDescent="0.25">
      <c r="A1972" t="str">
        <f>"0611860891050"</f>
        <v>0611860891050</v>
      </c>
      <c r="B1972" t="str">
        <f>"CR2096"</f>
        <v>CR2096</v>
      </c>
      <c r="C1972" t="s">
        <v>1925</v>
      </c>
    </row>
    <row r="1973" spans="1:3" x14ac:dyDescent="0.25">
      <c r="A1973" t="str">
        <f>"0611832114100"</f>
        <v>0611832114100</v>
      </c>
      <c r="B1973" t="str">
        <f>"LQ3520"</f>
        <v>LQ3520</v>
      </c>
      <c r="C1973" t="s">
        <v>1926</v>
      </c>
    </row>
    <row r="1974" spans="1:3" x14ac:dyDescent="0.25">
      <c r="A1974" t="str">
        <f>"0611860892050"</f>
        <v>0611860892050</v>
      </c>
      <c r="B1974" t="str">
        <f>"CR4931"</f>
        <v>CR4931</v>
      </c>
      <c r="C1974" t="s">
        <v>1927</v>
      </c>
    </row>
    <row r="1975" spans="1:3" x14ac:dyDescent="0.25">
      <c r="A1975" t="str">
        <f>"0611832116100"</f>
        <v>0611832116100</v>
      </c>
      <c r="B1975" t="str">
        <f>"LQ0935"</f>
        <v>LQ0935</v>
      </c>
      <c r="C1975" t="s">
        <v>1928</v>
      </c>
    </row>
    <row r="1976" spans="1:3" x14ac:dyDescent="0.25">
      <c r="A1976" t="str">
        <f>"0611860893050"</f>
        <v>0611860893050</v>
      </c>
      <c r="B1976" t="str">
        <f>"CR4036"</f>
        <v>CR4036</v>
      </c>
      <c r="C1976" t="s">
        <v>1929</v>
      </c>
    </row>
    <row r="1977" spans="1:3" x14ac:dyDescent="0.25">
      <c r="A1977" t="str">
        <f>"0611832121100"</f>
        <v>0611832121100</v>
      </c>
      <c r="B1977" t="str">
        <f>"LQ6225"</f>
        <v>LQ6225</v>
      </c>
      <c r="C1977" t="s">
        <v>1930</v>
      </c>
    </row>
    <row r="1978" spans="1:3" x14ac:dyDescent="0.25">
      <c r="A1978" t="str">
        <f>"0611832122100"</f>
        <v>0611832122100</v>
      </c>
      <c r="B1978" t="str">
        <f>"LQ6154"</f>
        <v>LQ6154</v>
      </c>
      <c r="C1978" t="s">
        <v>1931</v>
      </c>
    </row>
    <row r="1979" spans="1:3" x14ac:dyDescent="0.25">
      <c r="A1979" t="str">
        <f>"0611832123100"</f>
        <v>0611832123100</v>
      </c>
      <c r="B1979" t="str">
        <f>"LQ6226"</f>
        <v>LQ6226</v>
      </c>
      <c r="C1979" t="s">
        <v>1932</v>
      </c>
    </row>
    <row r="1980" spans="1:3" x14ac:dyDescent="0.25">
      <c r="A1980" t="str">
        <f>"0611832124100"</f>
        <v>0611832124100</v>
      </c>
      <c r="B1980" t="str">
        <f>"LQ6056"</f>
        <v>LQ6056</v>
      </c>
      <c r="C1980" t="s">
        <v>1933</v>
      </c>
    </row>
    <row r="1981" spans="1:3" x14ac:dyDescent="0.25">
      <c r="A1981" t="str">
        <f>"0611856853100"</f>
        <v>0611856853100</v>
      </c>
      <c r="B1981" t="str">
        <f>"LQ6260"</f>
        <v>LQ6260</v>
      </c>
      <c r="C1981" t="s">
        <v>1934</v>
      </c>
    </row>
    <row r="1982" spans="1:3" x14ac:dyDescent="0.25">
      <c r="A1982" t="str">
        <f>"0611832126100"</f>
        <v>0611832126100</v>
      </c>
      <c r="B1982" t="str">
        <f>"LQ6227"</f>
        <v>LQ6227</v>
      </c>
      <c r="C1982" t="s">
        <v>1935</v>
      </c>
    </row>
    <row r="1983" spans="1:3" x14ac:dyDescent="0.25">
      <c r="A1983" t="str">
        <f>"0611832127100"</f>
        <v>0611832127100</v>
      </c>
      <c r="B1983" t="str">
        <f>"LQ6156"</f>
        <v>LQ6156</v>
      </c>
      <c r="C1983" t="s">
        <v>1936</v>
      </c>
    </row>
    <row r="1984" spans="1:3" x14ac:dyDescent="0.25">
      <c r="A1984" t="str">
        <f>"0611856854100"</f>
        <v>0611856854100</v>
      </c>
      <c r="B1984" t="str">
        <f>"LQ6261"</f>
        <v>LQ6261</v>
      </c>
      <c r="C1984" t="s">
        <v>1937</v>
      </c>
    </row>
    <row r="1985" spans="1:3" x14ac:dyDescent="0.25">
      <c r="A1985" t="str">
        <f>"0611832128100"</f>
        <v>0611832128100</v>
      </c>
      <c r="B1985" t="str">
        <f>"LQ6137"</f>
        <v>LQ6137</v>
      </c>
      <c r="C1985" t="s">
        <v>1938</v>
      </c>
    </row>
    <row r="1986" spans="1:3" x14ac:dyDescent="0.25">
      <c r="A1986" t="str">
        <f>"0611832129100"</f>
        <v>0611832129100</v>
      </c>
      <c r="B1986" t="str">
        <f>"LQ6179"</f>
        <v>LQ6179</v>
      </c>
      <c r="C1986" t="s">
        <v>1939</v>
      </c>
    </row>
    <row r="1987" spans="1:3" x14ac:dyDescent="0.25">
      <c r="A1987" t="str">
        <f>"0611832130100"</f>
        <v>0611832130100</v>
      </c>
      <c r="B1987" t="str">
        <f>"LQ6180"</f>
        <v>LQ6180</v>
      </c>
      <c r="C1987" t="s">
        <v>1940</v>
      </c>
    </row>
    <row r="1988" spans="1:3" x14ac:dyDescent="0.25">
      <c r="A1988" t="str">
        <f>"0611832131100"</f>
        <v>0611832131100</v>
      </c>
      <c r="B1988" t="str">
        <f>"LQ6058"</f>
        <v>LQ6058</v>
      </c>
      <c r="C1988" t="s">
        <v>1941</v>
      </c>
    </row>
    <row r="1989" spans="1:3" x14ac:dyDescent="0.25">
      <c r="A1989" t="str">
        <f>"0611832133100"</f>
        <v>0611832133100</v>
      </c>
      <c r="B1989" t="str">
        <f>"LQ6228"</f>
        <v>LQ6228</v>
      </c>
      <c r="C1989" t="s">
        <v>1942</v>
      </c>
    </row>
    <row r="1990" spans="1:3" x14ac:dyDescent="0.25">
      <c r="A1990" t="str">
        <f>"0611832134100"</f>
        <v>0611832134100</v>
      </c>
      <c r="B1990" t="str">
        <f>"LQ6157"</f>
        <v>LQ6157</v>
      </c>
      <c r="C1990" t="s">
        <v>1943</v>
      </c>
    </row>
    <row r="1991" spans="1:3" x14ac:dyDescent="0.25">
      <c r="A1991" t="str">
        <f>"0611832135100"</f>
        <v>0611832135100</v>
      </c>
      <c r="B1991" t="str">
        <f>"LQ6059"</f>
        <v>LQ6059</v>
      </c>
      <c r="C1991" t="s">
        <v>1944</v>
      </c>
    </row>
    <row r="1992" spans="1:3" x14ac:dyDescent="0.25">
      <c r="A1992" t="str">
        <f>"0611832136100"</f>
        <v>0611832136100</v>
      </c>
      <c r="B1992" t="str">
        <f>"LQ6095"</f>
        <v>LQ6095</v>
      </c>
      <c r="C1992" t="s">
        <v>1945</v>
      </c>
    </row>
    <row r="1993" spans="1:3" x14ac:dyDescent="0.25">
      <c r="A1993" t="str">
        <f>"0611856855100"</f>
        <v>0611856855100</v>
      </c>
      <c r="B1993" t="str">
        <f>"LQ6262"</f>
        <v>LQ6262</v>
      </c>
      <c r="C1993" t="s">
        <v>1946</v>
      </c>
    </row>
    <row r="1994" spans="1:3" x14ac:dyDescent="0.25">
      <c r="A1994" t="str">
        <f>"0611832137100"</f>
        <v>0611832137100</v>
      </c>
      <c r="B1994" t="str">
        <f>"LQ6229"</f>
        <v>LQ6229</v>
      </c>
      <c r="C1994" t="s">
        <v>1947</v>
      </c>
    </row>
    <row r="1995" spans="1:3" x14ac:dyDescent="0.25">
      <c r="A1995" t="str">
        <f>"0611832138100"</f>
        <v>0611832138100</v>
      </c>
      <c r="B1995" t="str">
        <f>"LQ6060"</f>
        <v>LQ6060</v>
      </c>
      <c r="C1995" t="s">
        <v>1948</v>
      </c>
    </row>
    <row r="1996" spans="1:3" x14ac:dyDescent="0.25">
      <c r="A1996" t="str">
        <f>"0611884075100"</f>
        <v>0611884075100</v>
      </c>
      <c r="B1996" t="str">
        <f>"LQ6290"</f>
        <v>LQ6290</v>
      </c>
      <c r="C1996" t="s">
        <v>1949</v>
      </c>
    </row>
    <row r="1997" spans="1:3" x14ac:dyDescent="0.25">
      <c r="A1997" t="str">
        <f>"0611884076100"</f>
        <v>0611884076100</v>
      </c>
      <c r="B1997" t="str">
        <f>"LQ6291"</f>
        <v>LQ6291</v>
      </c>
      <c r="C1997" t="s">
        <v>1950</v>
      </c>
    </row>
    <row r="1998" spans="1:3" x14ac:dyDescent="0.25">
      <c r="A1998" t="str">
        <f>"0611832139100"</f>
        <v>0611832139100</v>
      </c>
      <c r="B1998" t="str">
        <f>"LQ6174"</f>
        <v>LQ6174</v>
      </c>
      <c r="C1998" t="s">
        <v>1951</v>
      </c>
    </row>
    <row r="1999" spans="1:3" x14ac:dyDescent="0.25">
      <c r="A1999" t="str">
        <f>"0611832140100"</f>
        <v>0611832140100</v>
      </c>
      <c r="B1999" t="str">
        <f>"LK6200"</f>
        <v>LK6200</v>
      </c>
      <c r="C1999" t="s">
        <v>1952</v>
      </c>
    </row>
    <row r="2000" spans="1:3" x14ac:dyDescent="0.25">
      <c r="A2000" t="str">
        <f>"0611856856100"</f>
        <v>0611856856100</v>
      </c>
      <c r="B2000" t="str">
        <f>"LQ3880"</f>
        <v>LQ3880</v>
      </c>
      <c r="C2000" t="s">
        <v>1953</v>
      </c>
    </row>
    <row r="2001" spans="1:3" x14ac:dyDescent="0.25">
      <c r="A2001" t="str">
        <f>"0611860894050"</f>
        <v>0611860894050</v>
      </c>
      <c r="B2001" t="str">
        <f>"CR5163"</f>
        <v>CR5163</v>
      </c>
      <c r="C2001" t="s">
        <v>1954</v>
      </c>
    </row>
    <row r="2002" spans="1:3" x14ac:dyDescent="0.25">
      <c r="A2002" t="str">
        <f>"0611906688100"</f>
        <v>0611906688100</v>
      </c>
      <c r="B2002" t="str">
        <f>"LQ3968"</f>
        <v>LQ3968</v>
      </c>
      <c r="C2002" t="s">
        <v>1955</v>
      </c>
    </row>
    <row r="2003" spans="1:3" x14ac:dyDescent="0.25">
      <c r="A2003" t="str">
        <f>"0611906689100"</f>
        <v>0611906689100</v>
      </c>
      <c r="B2003" t="str">
        <f>"LQ3969"</f>
        <v>LQ3969</v>
      </c>
      <c r="C2003" t="s">
        <v>1956</v>
      </c>
    </row>
    <row r="2004" spans="1:3" x14ac:dyDescent="0.25">
      <c r="A2004" t="str">
        <f>"0611906690100"</f>
        <v>0611906690100</v>
      </c>
      <c r="B2004" t="str">
        <f>"LQ3970"</f>
        <v>LQ3970</v>
      </c>
      <c r="C2004" t="s">
        <v>1957</v>
      </c>
    </row>
    <row r="2005" spans="1:3" x14ac:dyDescent="0.25">
      <c r="A2005" t="str">
        <f>"0611906691100"</f>
        <v>0611906691100</v>
      </c>
      <c r="B2005" t="str">
        <f>"LQ3971"</f>
        <v>LQ3971</v>
      </c>
      <c r="C2005" t="s">
        <v>1958</v>
      </c>
    </row>
    <row r="2006" spans="1:3" x14ac:dyDescent="0.25">
      <c r="A2006" t="str">
        <f>"0611906692100"</f>
        <v>0611906692100</v>
      </c>
      <c r="B2006" t="str">
        <f>"LQ3972"</f>
        <v>LQ3972</v>
      </c>
      <c r="C2006" t="s">
        <v>1959</v>
      </c>
    </row>
    <row r="2007" spans="1:3" x14ac:dyDescent="0.25">
      <c r="A2007" t="str">
        <f>"0611906693100"</f>
        <v>0611906693100</v>
      </c>
      <c r="B2007" t="str">
        <f>"LQ3973"</f>
        <v>LQ3973</v>
      </c>
      <c r="C2007" t="s">
        <v>1960</v>
      </c>
    </row>
    <row r="2008" spans="1:3" x14ac:dyDescent="0.25">
      <c r="A2008" t="str">
        <f>"0611906694100"</f>
        <v>0611906694100</v>
      </c>
      <c r="B2008" t="str">
        <f>"LQ3974"</f>
        <v>LQ3974</v>
      </c>
      <c r="C2008" t="s">
        <v>1961</v>
      </c>
    </row>
    <row r="2009" spans="1:3" x14ac:dyDescent="0.25">
      <c r="A2009" t="str">
        <f>"0611856857100"</f>
        <v>0611856857100</v>
      </c>
      <c r="B2009" t="str">
        <f>"LQ6263"</f>
        <v>LQ6263</v>
      </c>
      <c r="C2009" t="s">
        <v>1962</v>
      </c>
    </row>
    <row r="2010" spans="1:3" x14ac:dyDescent="0.25">
      <c r="A2010" t="str">
        <f>"0611832143100"</f>
        <v>0611832143100</v>
      </c>
      <c r="B2010" t="str">
        <f>"LQ6230"</f>
        <v>LQ6230</v>
      </c>
      <c r="C2010" t="s">
        <v>1963</v>
      </c>
    </row>
    <row r="2011" spans="1:3" x14ac:dyDescent="0.25">
      <c r="A2011" t="str">
        <f>"0611906695100"</f>
        <v>0611906695100</v>
      </c>
      <c r="B2011" t="str">
        <f>"LQ6307"</f>
        <v>LQ6307</v>
      </c>
      <c r="C2011" t="s">
        <v>1964</v>
      </c>
    </row>
    <row r="2012" spans="1:3" x14ac:dyDescent="0.25">
      <c r="A2012" t="str">
        <f>"0611832144100"</f>
        <v>0611832144100</v>
      </c>
      <c r="B2012" t="str">
        <f>"LQ6231"</f>
        <v>LQ6231</v>
      </c>
      <c r="C2012" t="s">
        <v>1965</v>
      </c>
    </row>
    <row r="2013" spans="1:3" x14ac:dyDescent="0.25">
      <c r="A2013" t="str">
        <f>"0611832145100"</f>
        <v>0611832145100</v>
      </c>
      <c r="B2013" t="str">
        <f>"LQ6232"</f>
        <v>LQ6232</v>
      </c>
      <c r="C2013" t="s">
        <v>1966</v>
      </c>
    </row>
    <row r="2014" spans="1:3" x14ac:dyDescent="0.25">
      <c r="A2014" t="str">
        <f>"0611832146100"</f>
        <v>0611832146100</v>
      </c>
      <c r="B2014" t="str">
        <f>"LQ6158"</f>
        <v>LQ6158</v>
      </c>
      <c r="C2014" t="s">
        <v>1967</v>
      </c>
    </row>
    <row r="2015" spans="1:3" x14ac:dyDescent="0.25">
      <c r="A2015" t="str">
        <f>"0611856858100"</f>
        <v>0611856858100</v>
      </c>
      <c r="B2015" t="str">
        <f>"LQ6264"</f>
        <v>LQ6264</v>
      </c>
      <c r="C2015" t="s">
        <v>1968</v>
      </c>
    </row>
    <row r="2016" spans="1:3" x14ac:dyDescent="0.25">
      <c r="A2016" t="str">
        <f>"0611832147100"</f>
        <v>0611832147100</v>
      </c>
      <c r="B2016" t="str">
        <f>"LQ6181"</f>
        <v>LQ6181</v>
      </c>
      <c r="C2016" t="s">
        <v>1969</v>
      </c>
    </row>
    <row r="2017" spans="1:3" x14ac:dyDescent="0.25">
      <c r="A2017" t="str">
        <f>"0611832148100"</f>
        <v>0611832148100</v>
      </c>
      <c r="B2017" t="str">
        <f>"LQ3796"</f>
        <v>LQ3796</v>
      </c>
      <c r="C2017" t="s">
        <v>1970</v>
      </c>
    </row>
    <row r="2018" spans="1:3" x14ac:dyDescent="0.25">
      <c r="A2018" t="str">
        <f>"0611832072100"</f>
        <v>0611832072100</v>
      </c>
      <c r="B2018" t="str">
        <f>"MB1202"</f>
        <v>MB1202</v>
      </c>
      <c r="C2018" t="s">
        <v>1971</v>
      </c>
    </row>
    <row r="2019" spans="1:3" x14ac:dyDescent="0.25">
      <c r="A2019" t="str">
        <f>"0611832073025"</f>
        <v>0611832073025</v>
      </c>
      <c r="B2019" t="str">
        <f>"MC1423"</f>
        <v>MC1423</v>
      </c>
      <c r="C2019" t="s">
        <v>1972</v>
      </c>
    </row>
    <row r="2020" spans="1:3" x14ac:dyDescent="0.25">
      <c r="A2020" t="str">
        <f>"0611860895050"</f>
        <v>0611860895050</v>
      </c>
      <c r="B2020" t="str">
        <f>"CR3590"</f>
        <v>CR3590</v>
      </c>
      <c r="C2020" t="s">
        <v>1974</v>
      </c>
    </row>
    <row r="2021" spans="1:3" x14ac:dyDescent="0.25">
      <c r="A2021" t="str">
        <f>"0611860896050"</f>
        <v>0611860896050</v>
      </c>
      <c r="B2021" t="str">
        <f>"CR2097"</f>
        <v>CR2097</v>
      </c>
      <c r="C2021" t="s">
        <v>1975</v>
      </c>
    </row>
    <row r="2022" spans="1:3" x14ac:dyDescent="0.25">
      <c r="A2022" t="str">
        <f>"0611860897050"</f>
        <v>0611860897050</v>
      </c>
      <c r="B2022" t="str">
        <f>"CR2886"</f>
        <v>CR2886</v>
      </c>
      <c r="C2022" t="s">
        <v>1976</v>
      </c>
    </row>
    <row r="2023" spans="1:3" x14ac:dyDescent="0.25">
      <c r="A2023" t="str">
        <f>"0611860898050"</f>
        <v>0611860898050</v>
      </c>
      <c r="B2023" t="str">
        <f>"CR2100"</f>
        <v>CR2100</v>
      </c>
      <c r="C2023" t="s">
        <v>1977</v>
      </c>
    </row>
    <row r="2024" spans="1:3" x14ac:dyDescent="0.25">
      <c r="A2024" t="str">
        <f>"0611860899050"</f>
        <v>0611860899050</v>
      </c>
      <c r="B2024" t="str">
        <f>"CR4792"</f>
        <v>CR4792</v>
      </c>
      <c r="C2024" t="s">
        <v>1978</v>
      </c>
    </row>
    <row r="2025" spans="1:3" x14ac:dyDescent="0.25">
      <c r="A2025" t="str">
        <f>"0611860900050"</f>
        <v>0611860900050</v>
      </c>
      <c r="B2025" t="str">
        <f>"CR2101"</f>
        <v>CR2101</v>
      </c>
      <c r="C2025" t="s">
        <v>1979</v>
      </c>
    </row>
    <row r="2026" spans="1:3" x14ac:dyDescent="0.25">
      <c r="A2026" t="str">
        <f>"0611860901050"</f>
        <v>0611860901050</v>
      </c>
      <c r="B2026" t="str">
        <f>"CR2102"</f>
        <v>CR2102</v>
      </c>
      <c r="C2026" t="s">
        <v>1980</v>
      </c>
    </row>
    <row r="2027" spans="1:3" x14ac:dyDescent="0.25">
      <c r="A2027" t="str">
        <f>"0611860902050"</f>
        <v>0611860902050</v>
      </c>
      <c r="B2027" t="str">
        <f>"CR2103"</f>
        <v>CR2103</v>
      </c>
      <c r="C2027" t="s">
        <v>1981</v>
      </c>
    </row>
    <row r="2028" spans="1:3" x14ac:dyDescent="0.25">
      <c r="A2028" t="str">
        <f>"0611860903050"</f>
        <v>0611860903050</v>
      </c>
      <c r="B2028" t="str">
        <f>"CR4074"</f>
        <v>CR4074</v>
      </c>
      <c r="C2028" t="s">
        <v>1982</v>
      </c>
    </row>
    <row r="2029" spans="1:3" x14ac:dyDescent="0.25">
      <c r="A2029" t="str">
        <f>"0611860904050"</f>
        <v>0611860904050</v>
      </c>
      <c r="B2029" t="str">
        <f>"CR2104"</f>
        <v>CR2104</v>
      </c>
      <c r="C2029" t="s">
        <v>1983</v>
      </c>
    </row>
    <row r="2030" spans="1:3" x14ac:dyDescent="0.25">
      <c r="A2030" t="str">
        <f>"0611856859100"</f>
        <v>0611856859100</v>
      </c>
      <c r="B2030" t="str">
        <f>"LQ3881"</f>
        <v>LQ3881</v>
      </c>
      <c r="C2030" t="s">
        <v>1984</v>
      </c>
    </row>
    <row r="2031" spans="1:3" x14ac:dyDescent="0.25">
      <c r="A2031" t="str">
        <f>"0611860905050"</f>
        <v>0611860905050</v>
      </c>
      <c r="B2031" t="str">
        <f>"CR5164"</f>
        <v>CR5164</v>
      </c>
      <c r="C2031" t="s">
        <v>1985</v>
      </c>
    </row>
    <row r="2032" spans="1:3" x14ac:dyDescent="0.25">
      <c r="A2032" t="str">
        <f>"0611832150100"</f>
        <v>0611832150100</v>
      </c>
      <c r="B2032" t="str">
        <f>"LK6631"</f>
        <v>LK6631</v>
      </c>
      <c r="C2032" t="s">
        <v>1986</v>
      </c>
    </row>
    <row r="2033" spans="1:3" x14ac:dyDescent="0.25">
      <c r="A2033" t="str">
        <f>"0611832151100"</f>
        <v>0611832151100</v>
      </c>
      <c r="B2033" t="str">
        <f>"LK6632"</f>
        <v>LK6632</v>
      </c>
      <c r="C2033" t="s">
        <v>1987</v>
      </c>
    </row>
    <row r="2034" spans="1:3" x14ac:dyDescent="0.25">
      <c r="A2034" t="str">
        <f>"0611832152100"</f>
        <v>0611832152100</v>
      </c>
      <c r="B2034" t="str">
        <f>"LK6633"</f>
        <v>LK6633</v>
      </c>
      <c r="C2034" t="s">
        <v>1988</v>
      </c>
    </row>
    <row r="2035" spans="1:3" x14ac:dyDescent="0.25">
      <c r="A2035" t="str">
        <f>"0611832154100"</f>
        <v>0611832154100</v>
      </c>
      <c r="B2035" t="str">
        <f>"LK5642"</f>
        <v>LK5642</v>
      </c>
      <c r="C2035" t="s">
        <v>1989</v>
      </c>
    </row>
    <row r="2036" spans="1:3" x14ac:dyDescent="0.25">
      <c r="A2036" t="str">
        <f>"0611832155100"</f>
        <v>0611832155100</v>
      </c>
      <c r="B2036" t="str">
        <f>"LK6325"</f>
        <v>LK6325</v>
      </c>
      <c r="C2036" t="s">
        <v>1990</v>
      </c>
    </row>
    <row r="2037" spans="1:3" x14ac:dyDescent="0.25">
      <c r="A2037" t="str">
        <f>"0611832156100"</f>
        <v>0611832156100</v>
      </c>
      <c r="B2037" t="str">
        <f>"LK6634"</f>
        <v>LK6634</v>
      </c>
      <c r="C2037" t="s">
        <v>1991</v>
      </c>
    </row>
    <row r="2038" spans="1:3" x14ac:dyDescent="0.25">
      <c r="A2038" t="str">
        <f>"0611832157100"</f>
        <v>0611832157100</v>
      </c>
      <c r="B2038" t="str">
        <f>"LK6635"</f>
        <v>LK6635</v>
      </c>
      <c r="C2038" t="s">
        <v>1992</v>
      </c>
    </row>
    <row r="2039" spans="1:3" x14ac:dyDescent="0.25">
      <c r="A2039" t="str">
        <f>"0611832158100"</f>
        <v>0611832158100</v>
      </c>
      <c r="B2039" t="str">
        <f>"LK6636"</f>
        <v>LK6636</v>
      </c>
      <c r="C2039" t="s">
        <v>1993</v>
      </c>
    </row>
    <row r="2040" spans="1:3" x14ac:dyDescent="0.25">
      <c r="A2040" t="str">
        <f>"0611832161100"</f>
        <v>0611832161100</v>
      </c>
      <c r="B2040" t="str">
        <f>"LK5645"</f>
        <v>LK5645</v>
      </c>
      <c r="C2040" t="s">
        <v>1994</v>
      </c>
    </row>
    <row r="2041" spans="1:3" x14ac:dyDescent="0.25">
      <c r="A2041" t="str">
        <f>"0611832162100"</f>
        <v>0611832162100</v>
      </c>
      <c r="B2041" t="str">
        <f>"LK5646"</f>
        <v>LK5646</v>
      </c>
      <c r="C2041" t="s">
        <v>1995</v>
      </c>
    </row>
    <row r="2042" spans="1:3" x14ac:dyDescent="0.25">
      <c r="A2042" t="str">
        <f>"0611860906050"</f>
        <v>0611860906050</v>
      </c>
      <c r="B2042" t="str">
        <f>"CR3410"</f>
        <v>CR3410</v>
      </c>
      <c r="C2042" t="s">
        <v>1996</v>
      </c>
    </row>
    <row r="2043" spans="1:3" x14ac:dyDescent="0.25">
      <c r="A2043" t="str">
        <f>"0611832163100"</f>
        <v>0611832163100</v>
      </c>
      <c r="B2043" t="str">
        <f>"LQ6138"</f>
        <v>LQ6138</v>
      </c>
      <c r="C2043" t="s">
        <v>1997</v>
      </c>
    </row>
    <row r="2044" spans="1:3" x14ac:dyDescent="0.25">
      <c r="A2044" t="str">
        <f>"0611860907050"</f>
        <v>0611860907050</v>
      </c>
      <c r="B2044" t="str">
        <f>"CR3668"</f>
        <v>CR3668</v>
      </c>
      <c r="C2044" t="s">
        <v>13787</v>
      </c>
    </row>
    <row r="2045" spans="1:3" x14ac:dyDescent="0.25">
      <c r="A2045" t="str">
        <f>"0611860908050"</f>
        <v>0611860908050</v>
      </c>
      <c r="B2045" t="str">
        <f>"CR2616"</f>
        <v>CR2616</v>
      </c>
      <c r="C2045" t="s">
        <v>13788</v>
      </c>
    </row>
    <row r="2046" spans="1:3" x14ac:dyDescent="0.25">
      <c r="A2046" t="str">
        <f>"0611860909050"</f>
        <v>0611860909050</v>
      </c>
      <c r="B2046" t="str">
        <f>"CR2617"</f>
        <v>CR2617</v>
      </c>
      <c r="C2046" t="s">
        <v>13789</v>
      </c>
    </row>
    <row r="2047" spans="1:3" x14ac:dyDescent="0.25">
      <c r="A2047" t="str">
        <f>"0611860910050"</f>
        <v>0611860910050</v>
      </c>
      <c r="B2047" t="str">
        <f>"CR2795"</f>
        <v>CR2795</v>
      </c>
      <c r="C2047" t="s">
        <v>13790</v>
      </c>
    </row>
    <row r="2048" spans="1:3" x14ac:dyDescent="0.25">
      <c r="A2048" t="str">
        <f>"0611860911050"</f>
        <v>0611860911050</v>
      </c>
      <c r="B2048" t="str">
        <f>"CR2796"</f>
        <v>CR2796</v>
      </c>
      <c r="C2048" t="s">
        <v>13791</v>
      </c>
    </row>
    <row r="2049" spans="1:3" x14ac:dyDescent="0.25">
      <c r="A2049" t="str">
        <f>"0611860912050"</f>
        <v>0611860912050</v>
      </c>
      <c r="B2049" t="str">
        <f>"CR2619"</f>
        <v>CR2619</v>
      </c>
      <c r="C2049" t="s">
        <v>1998</v>
      </c>
    </row>
    <row r="2050" spans="1:3" x14ac:dyDescent="0.25">
      <c r="A2050" t="str">
        <f>"0611860913050"</f>
        <v>0611860913050</v>
      </c>
      <c r="B2050" t="str">
        <f>"CR2798"</f>
        <v>CR2798</v>
      </c>
      <c r="C2050" t="s">
        <v>13792</v>
      </c>
    </row>
    <row r="2051" spans="1:3" x14ac:dyDescent="0.25">
      <c r="A2051" t="str">
        <f>"0611860914050"</f>
        <v>0611860914050</v>
      </c>
      <c r="B2051" t="str">
        <f>"CR2799"</f>
        <v>CR2799</v>
      </c>
      <c r="C2051" t="s">
        <v>13793</v>
      </c>
    </row>
    <row r="2052" spans="1:3" x14ac:dyDescent="0.25">
      <c r="A2052" t="str">
        <f>"0611860915050"</f>
        <v>0611860915050</v>
      </c>
      <c r="B2052" t="str">
        <f>"CR2800"</f>
        <v>CR2800</v>
      </c>
      <c r="C2052" t="s">
        <v>13794</v>
      </c>
    </row>
    <row r="2053" spans="1:3" x14ac:dyDescent="0.25">
      <c r="A2053" t="str">
        <f>"0611860917050"</f>
        <v>0611860917050</v>
      </c>
      <c r="B2053" t="str">
        <f>"CR2801"</f>
        <v>CR2801</v>
      </c>
      <c r="C2053" t="s">
        <v>13795</v>
      </c>
    </row>
    <row r="2054" spans="1:3" x14ac:dyDescent="0.25">
      <c r="A2054" t="str">
        <f>"0611860916050"</f>
        <v>0611860916050</v>
      </c>
      <c r="B2054" t="str">
        <f>"CR2791"</f>
        <v>CR2791</v>
      </c>
      <c r="C2054" t="s">
        <v>1999</v>
      </c>
    </row>
    <row r="2055" spans="1:3" x14ac:dyDescent="0.25">
      <c r="A2055" t="str">
        <f>"0611860918050"</f>
        <v>0611860918050</v>
      </c>
      <c r="B2055" t="str">
        <f>"CR2621"</f>
        <v>CR2621</v>
      </c>
      <c r="C2055" t="s">
        <v>13796</v>
      </c>
    </row>
    <row r="2056" spans="1:3" x14ac:dyDescent="0.25">
      <c r="A2056" t="str">
        <f>"0611832164100"</f>
        <v>0611832164100</v>
      </c>
      <c r="B2056" t="str">
        <f>"LQ0425"</f>
        <v>LQ0425</v>
      </c>
      <c r="C2056" t="s">
        <v>2000</v>
      </c>
    </row>
    <row r="2057" spans="1:3" x14ac:dyDescent="0.25">
      <c r="A2057" t="str">
        <f>"0611832167100"</f>
        <v>0611832167100</v>
      </c>
      <c r="B2057" t="str">
        <f>"LQ5302"</f>
        <v>LQ5302</v>
      </c>
      <c r="C2057" t="s">
        <v>2001</v>
      </c>
    </row>
    <row r="2058" spans="1:3" x14ac:dyDescent="0.25">
      <c r="A2058" t="str">
        <f>"0611832169100"</f>
        <v>0611832169100</v>
      </c>
      <c r="B2058" t="str">
        <f>"LQ0426"</f>
        <v>LQ0426</v>
      </c>
      <c r="C2058" t="s">
        <v>2003</v>
      </c>
    </row>
    <row r="2059" spans="1:3" x14ac:dyDescent="0.25">
      <c r="A2059" t="str">
        <f>"0611832170100"</f>
        <v>0611832170100</v>
      </c>
      <c r="B2059" t="str">
        <f>"LQ5012"</f>
        <v>LQ5012</v>
      </c>
      <c r="C2059" t="s">
        <v>2004</v>
      </c>
    </row>
    <row r="2060" spans="1:3" x14ac:dyDescent="0.25">
      <c r="A2060" t="str">
        <f>"0611832171100"</f>
        <v>0611832171100</v>
      </c>
      <c r="B2060" t="str">
        <f>"LQ5835"</f>
        <v>LQ5835</v>
      </c>
      <c r="C2060" t="s">
        <v>2002</v>
      </c>
    </row>
    <row r="2061" spans="1:3" x14ac:dyDescent="0.25">
      <c r="A2061" t="str">
        <f>"0611832172100"</f>
        <v>0611832172100</v>
      </c>
      <c r="B2061" t="str">
        <f>"LQ5501"</f>
        <v>LQ5501</v>
      </c>
      <c r="C2061" t="s">
        <v>2005</v>
      </c>
    </row>
    <row r="2062" spans="1:3" x14ac:dyDescent="0.25">
      <c r="A2062" t="str">
        <f>"0611832173100"</f>
        <v>0611832173100</v>
      </c>
      <c r="B2062" t="str">
        <f>"LQ5502"</f>
        <v>LQ5502</v>
      </c>
      <c r="C2062" t="s">
        <v>2006</v>
      </c>
    </row>
    <row r="2063" spans="1:3" x14ac:dyDescent="0.25">
      <c r="A2063" t="str">
        <f>"0611832175100"</f>
        <v>0611832175100</v>
      </c>
      <c r="B2063" t="str">
        <f>"LQ5307"</f>
        <v>LQ5307</v>
      </c>
      <c r="C2063" t="s">
        <v>2007</v>
      </c>
    </row>
    <row r="2064" spans="1:3" x14ac:dyDescent="0.25">
      <c r="A2064" t="str">
        <f>"0611832176100"</f>
        <v>0611832176100</v>
      </c>
      <c r="B2064" t="str">
        <f>"LQ5918"</f>
        <v>LQ5918</v>
      </c>
      <c r="C2064" t="s">
        <v>2008</v>
      </c>
    </row>
    <row r="2065" spans="1:3" x14ac:dyDescent="0.25">
      <c r="A2065" t="str">
        <f>"0611832177100"</f>
        <v>0611832177100</v>
      </c>
      <c r="B2065" t="str">
        <f>"LQ0428"</f>
        <v>LQ0428</v>
      </c>
      <c r="C2065" t="s">
        <v>2009</v>
      </c>
    </row>
    <row r="2066" spans="1:3" x14ac:dyDescent="0.25">
      <c r="A2066" t="str">
        <f>"0611832178100"</f>
        <v>0611832178100</v>
      </c>
      <c r="B2066" t="str">
        <f>"LQ5309"</f>
        <v>LQ5309</v>
      </c>
      <c r="C2066" t="s">
        <v>2010</v>
      </c>
    </row>
    <row r="2067" spans="1:3" x14ac:dyDescent="0.25">
      <c r="A2067" t="str">
        <f>"0611832179100"</f>
        <v>0611832179100</v>
      </c>
      <c r="B2067" t="str">
        <f>"LQ5311"</f>
        <v>LQ5311</v>
      </c>
      <c r="C2067" t="s">
        <v>2011</v>
      </c>
    </row>
    <row r="2068" spans="1:3" x14ac:dyDescent="0.25">
      <c r="A2068" t="str">
        <f>"0611832181100"</f>
        <v>0611832181100</v>
      </c>
      <c r="B2068" t="str">
        <f>"LQ0424"</f>
        <v>LQ0424</v>
      </c>
      <c r="C2068" t="s">
        <v>2012</v>
      </c>
    </row>
    <row r="2069" spans="1:3" x14ac:dyDescent="0.25">
      <c r="A2069" t="str">
        <f>"0611832182100"</f>
        <v>0611832182100</v>
      </c>
      <c r="B2069" t="str">
        <f>"LQ5919"</f>
        <v>LQ5919</v>
      </c>
      <c r="C2069" t="s">
        <v>2013</v>
      </c>
    </row>
    <row r="2070" spans="1:3" x14ac:dyDescent="0.25">
      <c r="A2070" t="str">
        <f>"0611832186100"</f>
        <v>0611832186100</v>
      </c>
      <c r="B2070" t="str">
        <f>"LQ5314"</f>
        <v>LQ5314</v>
      </c>
      <c r="C2070" t="s">
        <v>2014</v>
      </c>
    </row>
    <row r="2071" spans="1:3" x14ac:dyDescent="0.25">
      <c r="A2071" t="str">
        <f>"0611832187100"</f>
        <v>0611832187100</v>
      </c>
      <c r="B2071" t="str">
        <f>"LQ5444"</f>
        <v>LQ5444</v>
      </c>
      <c r="C2071" t="s">
        <v>2015</v>
      </c>
    </row>
    <row r="2072" spans="1:3" x14ac:dyDescent="0.25">
      <c r="A2072" t="str">
        <f>"0611906696100"</f>
        <v>0611906696100</v>
      </c>
      <c r="B2072" t="str">
        <f>"LQ6308"</f>
        <v>LQ6308</v>
      </c>
      <c r="C2072" t="s">
        <v>2016</v>
      </c>
    </row>
    <row r="2073" spans="1:3" x14ac:dyDescent="0.25">
      <c r="A2073" t="str">
        <f>"0611832188100"</f>
        <v>0611832188100</v>
      </c>
      <c r="B2073" t="str">
        <f>"LQ6187"</f>
        <v>LQ6187</v>
      </c>
      <c r="C2073" t="s">
        <v>2017</v>
      </c>
    </row>
    <row r="2074" spans="1:3" x14ac:dyDescent="0.25">
      <c r="A2074" t="str">
        <f>"0611832189100"</f>
        <v>0611832189100</v>
      </c>
      <c r="B2074" t="str">
        <f>"LQ6188"</f>
        <v>LQ6188</v>
      </c>
      <c r="C2074" t="s">
        <v>2018</v>
      </c>
    </row>
    <row r="2075" spans="1:3" x14ac:dyDescent="0.25">
      <c r="A2075" t="str">
        <f>"0611832190100"</f>
        <v>0611832190100</v>
      </c>
      <c r="B2075" t="str">
        <f>"LQ6189"</f>
        <v>LQ6189</v>
      </c>
      <c r="C2075" t="s">
        <v>2019</v>
      </c>
    </row>
    <row r="2076" spans="1:3" x14ac:dyDescent="0.25">
      <c r="A2076" t="str">
        <f>"0611884079100"</f>
        <v>0611884079100</v>
      </c>
      <c r="B2076" t="str">
        <f>"LQ6292"</f>
        <v>LQ6292</v>
      </c>
      <c r="C2076" t="s">
        <v>2020</v>
      </c>
    </row>
    <row r="2077" spans="1:3" x14ac:dyDescent="0.25">
      <c r="A2077" t="str">
        <f>"0611884080100"</f>
        <v>0611884080100</v>
      </c>
      <c r="B2077" t="str">
        <f>"LK7128"</f>
        <v>LK7128</v>
      </c>
      <c r="C2077" t="s">
        <v>2021</v>
      </c>
    </row>
    <row r="2078" spans="1:3" x14ac:dyDescent="0.25">
      <c r="A2078" t="str">
        <f>"0611832191100"</f>
        <v>0611832191100</v>
      </c>
      <c r="B2078" t="str">
        <f>"LQ6190"</f>
        <v>LQ6190</v>
      </c>
      <c r="C2078" t="s">
        <v>2022</v>
      </c>
    </row>
    <row r="2079" spans="1:3" x14ac:dyDescent="0.25">
      <c r="A2079" t="str">
        <f>"0611860919050"</f>
        <v>0611860919050</v>
      </c>
      <c r="B2079" t="str">
        <f>"CR2625"</f>
        <v>CR2625</v>
      </c>
      <c r="C2079" t="s">
        <v>2059</v>
      </c>
    </row>
    <row r="2080" spans="1:3" x14ac:dyDescent="0.25">
      <c r="A2080" t="str">
        <f>"0611832193100"</f>
        <v>0611832193100</v>
      </c>
      <c r="B2080" t="str">
        <f>"LQ3797"</f>
        <v>LQ3797</v>
      </c>
      <c r="C2080" t="s">
        <v>2023</v>
      </c>
    </row>
    <row r="2081" spans="1:3" x14ac:dyDescent="0.25">
      <c r="A2081" t="str">
        <f>"0611860920050"</f>
        <v>0611860920050</v>
      </c>
      <c r="B2081" t="str">
        <f>"CR4932"</f>
        <v>CR4932</v>
      </c>
      <c r="C2081" t="s">
        <v>2024</v>
      </c>
    </row>
    <row r="2082" spans="1:3" x14ac:dyDescent="0.25">
      <c r="A2082" t="str">
        <f>"0611860921050"</f>
        <v>0611860921050</v>
      </c>
      <c r="B2082" t="str">
        <f>"CR4933"</f>
        <v>CR4933</v>
      </c>
      <c r="C2082" t="s">
        <v>2025</v>
      </c>
    </row>
    <row r="2083" spans="1:3" x14ac:dyDescent="0.25">
      <c r="A2083" t="str">
        <f>"0611860922050"</f>
        <v>0611860922050</v>
      </c>
      <c r="B2083" t="str">
        <f>"CR4934"</f>
        <v>CR4934</v>
      </c>
      <c r="C2083" t="s">
        <v>2026</v>
      </c>
    </row>
    <row r="2084" spans="1:3" x14ac:dyDescent="0.25">
      <c r="A2084" t="str">
        <f>"0611906539050"</f>
        <v>0611906539050</v>
      </c>
      <c r="B2084" t="str">
        <f>"CR5462"</f>
        <v>CR5462</v>
      </c>
      <c r="C2084" t="s">
        <v>2027</v>
      </c>
    </row>
    <row r="2085" spans="1:3" x14ac:dyDescent="0.25">
      <c r="A2085" t="str">
        <f>"0611860923050"</f>
        <v>0611860923050</v>
      </c>
      <c r="B2085" t="str">
        <f>"CR5158"</f>
        <v>CR5158</v>
      </c>
      <c r="C2085" t="s">
        <v>2028</v>
      </c>
    </row>
    <row r="2086" spans="1:3" x14ac:dyDescent="0.25">
      <c r="A2086" t="str">
        <f>"0611860924050"</f>
        <v>0611860924050</v>
      </c>
      <c r="B2086" t="str">
        <f>"CR4935"</f>
        <v>CR4935</v>
      </c>
      <c r="C2086" t="s">
        <v>2029</v>
      </c>
    </row>
    <row r="2087" spans="1:3" x14ac:dyDescent="0.25">
      <c r="A2087" t="str">
        <f>"0611860925050"</f>
        <v>0611860925050</v>
      </c>
      <c r="B2087" t="str">
        <f>"CR4936"</f>
        <v>CR4936</v>
      </c>
      <c r="C2087" t="s">
        <v>2031</v>
      </c>
    </row>
    <row r="2088" spans="1:3" x14ac:dyDescent="0.25">
      <c r="A2088" t="str">
        <f>"0611860926050"</f>
        <v>0611860926050</v>
      </c>
      <c r="B2088" t="str">
        <f>"CR5160"</f>
        <v>CR5160</v>
      </c>
      <c r="C2088" t="s">
        <v>2032</v>
      </c>
    </row>
    <row r="2089" spans="1:3" x14ac:dyDescent="0.25">
      <c r="A2089" t="str">
        <f>"0611860927050"</f>
        <v>0611860927050</v>
      </c>
      <c r="B2089" t="str">
        <f>"CR5159"</f>
        <v>CR5159</v>
      </c>
      <c r="C2089" t="s">
        <v>2030</v>
      </c>
    </row>
    <row r="2090" spans="1:3" x14ac:dyDescent="0.25">
      <c r="A2090" t="str">
        <f>"0611860928050"</f>
        <v>0611860928050</v>
      </c>
      <c r="B2090" t="str">
        <f>"CR4937"</f>
        <v>CR4937</v>
      </c>
      <c r="C2090" t="s">
        <v>2033</v>
      </c>
    </row>
    <row r="2091" spans="1:3" x14ac:dyDescent="0.25">
      <c r="A2091" t="str">
        <f>"0611860929050"</f>
        <v>0611860929050</v>
      </c>
      <c r="B2091" t="str">
        <f>"CR4938"</f>
        <v>CR4938</v>
      </c>
      <c r="C2091" t="s">
        <v>2034</v>
      </c>
    </row>
    <row r="2092" spans="1:3" x14ac:dyDescent="0.25">
      <c r="A2092" t="str">
        <f>"0611832194100"</f>
        <v>0611832194100</v>
      </c>
      <c r="B2092" t="str">
        <f>"LQ3585"</f>
        <v>LQ3585</v>
      </c>
      <c r="C2092" t="s">
        <v>2035</v>
      </c>
    </row>
    <row r="2093" spans="1:3" x14ac:dyDescent="0.25">
      <c r="A2093" t="str">
        <f>"0611860930050"</f>
        <v>0611860930050</v>
      </c>
      <c r="B2093" t="str">
        <f>"CR3855"</f>
        <v>CR3855</v>
      </c>
      <c r="C2093" t="s">
        <v>2036</v>
      </c>
    </row>
    <row r="2094" spans="1:3" x14ac:dyDescent="0.25">
      <c r="A2094" t="str">
        <f>"0611893351050"</f>
        <v>0611893351050</v>
      </c>
      <c r="B2094" t="str">
        <f>"CR5432"</f>
        <v>CR5432</v>
      </c>
      <c r="C2094" t="s">
        <v>2037</v>
      </c>
    </row>
    <row r="2095" spans="1:3" x14ac:dyDescent="0.25">
      <c r="A2095" t="str">
        <f>"0611860931050"</f>
        <v>0611860931050</v>
      </c>
      <c r="B2095" t="str">
        <f>"CR5021"</f>
        <v>CR5021</v>
      </c>
      <c r="C2095" t="s">
        <v>2038</v>
      </c>
    </row>
    <row r="2096" spans="1:3" x14ac:dyDescent="0.25">
      <c r="A2096" t="str">
        <f>"0611884081050"</f>
        <v>0611884081050</v>
      </c>
      <c r="B2096" t="str">
        <f>"CR5320"</f>
        <v>CR5320</v>
      </c>
      <c r="C2096" t="s">
        <v>2039</v>
      </c>
    </row>
    <row r="2097" spans="1:3" x14ac:dyDescent="0.25">
      <c r="A2097" t="str">
        <f>"0611860932050"</f>
        <v>0611860932050</v>
      </c>
      <c r="B2097" t="str">
        <f>"CR4795"</f>
        <v>CR4795</v>
      </c>
      <c r="C2097" t="s">
        <v>2040</v>
      </c>
    </row>
    <row r="2098" spans="1:3" x14ac:dyDescent="0.25">
      <c r="A2098" t="str">
        <f>"0611860933050"</f>
        <v>0611860933050</v>
      </c>
      <c r="B2098" t="str">
        <f>"CR5161"</f>
        <v>CR5161</v>
      </c>
      <c r="C2098" t="s">
        <v>2041</v>
      </c>
    </row>
    <row r="2099" spans="1:3" x14ac:dyDescent="0.25">
      <c r="A2099" t="str">
        <f>"0611860934050"</f>
        <v>0611860934050</v>
      </c>
      <c r="B2099" t="str">
        <f>"CR5162"</f>
        <v>CR5162</v>
      </c>
      <c r="C2099" t="s">
        <v>2042</v>
      </c>
    </row>
    <row r="2100" spans="1:3" x14ac:dyDescent="0.25">
      <c r="A2100" t="str">
        <f>"0611860935050"</f>
        <v>0611860935050</v>
      </c>
      <c r="B2100" t="str">
        <f>"CR4794"</f>
        <v>CR4794</v>
      </c>
      <c r="C2100" t="s">
        <v>2043</v>
      </c>
    </row>
    <row r="2101" spans="1:3" x14ac:dyDescent="0.25">
      <c r="A2101" t="str">
        <f>"0611884082050"</f>
        <v>0611884082050</v>
      </c>
      <c r="B2101" t="str">
        <f>"CR5316"</f>
        <v>CR5316</v>
      </c>
      <c r="C2101" t="s">
        <v>2044</v>
      </c>
    </row>
    <row r="2102" spans="1:3" x14ac:dyDescent="0.25">
      <c r="A2102" t="str">
        <f>"0611860936050"</f>
        <v>0611860936050</v>
      </c>
      <c r="B2102" t="str">
        <f>"CR4793"</f>
        <v>CR4793</v>
      </c>
      <c r="C2102" t="s">
        <v>2045</v>
      </c>
    </row>
    <row r="2103" spans="1:3" x14ac:dyDescent="0.25">
      <c r="A2103" t="str">
        <f>"0611832196100"</f>
        <v>0611832196100</v>
      </c>
      <c r="B2103" t="str">
        <f>"LQ3798"</f>
        <v>LQ3798</v>
      </c>
      <c r="C2103" t="s">
        <v>2046</v>
      </c>
    </row>
    <row r="2104" spans="1:3" x14ac:dyDescent="0.25">
      <c r="A2104" t="str">
        <f>"0611832197100"</f>
        <v>0611832197100</v>
      </c>
      <c r="B2104" t="str">
        <f>"LQ3449"</f>
        <v>LQ3449</v>
      </c>
      <c r="C2104" t="s">
        <v>2047</v>
      </c>
    </row>
    <row r="2105" spans="1:3" x14ac:dyDescent="0.25">
      <c r="A2105" t="str">
        <f>"0611832198100"</f>
        <v>0611832198100</v>
      </c>
      <c r="B2105" t="str">
        <f>"LQ3450"</f>
        <v>LQ3450</v>
      </c>
      <c r="C2105" t="s">
        <v>2048</v>
      </c>
    </row>
    <row r="2106" spans="1:3" x14ac:dyDescent="0.25">
      <c r="A2106" t="str">
        <f>"0611832199100"</f>
        <v>0611832199100</v>
      </c>
      <c r="B2106" t="str">
        <f>"LQ3451"</f>
        <v>LQ3451</v>
      </c>
      <c r="C2106" t="s">
        <v>2049</v>
      </c>
    </row>
    <row r="2107" spans="1:3" x14ac:dyDescent="0.25">
      <c r="A2107" t="str">
        <f>"0611832200100"</f>
        <v>0611832200100</v>
      </c>
      <c r="B2107" t="str">
        <f>"LQ3452"</f>
        <v>LQ3452</v>
      </c>
      <c r="C2107" t="s">
        <v>2050</v>
      </c>
    </row>
    <row r="2108" spans="1:3" x14ac:dyDescent="0.25">
      <c r="A2108" t="str">
        <f>"0611832201100"</f>
        <v>0611832201100</v>
      </c>
      <c r="B2108" t="str">
        <f>"LQ3453"</f>
        <v>LQ3453</v>
      </c>
      <c r="C2108" t="s">
        <v>2051</v>
      </c>
    </row>
    <row r="2109" spans="1:3" x14ac:dyDescent="0.25">
      <c r="A2109" t="str">
        <f>"0611832202100"</f>
        <v>0611832202100</v>
      </c>
      <c r="B2109" t="str">
        <f>"LQ3455"</f>
        <v>LQ3455</v>
      </c>
      <c r="C2109" t="s">
        <v>2052</v>
      </c>
    </row>
    <row r="2110" spans="1:3" x14ac:dyDescent="0.25">
      <c r="A2110" t="str">
        <f>"0611832203100"</f>
        <v>0611832203100</v>
      </c>
      <c r="B2110" t="str">
        <f>"LQ3457"</f>
        <v>LQ3457</v>
      </c>
      <c r="C2110" t="s">
        <v>2053</v>
      </c>
    </row>
    <row r="2111" spans="1:3" x14ac:dyDescent="0.25">
      <c r="A2111" t="str">
        <f>"0611832204100"</f>
        <v>0611832204100</v>
      </c>
      <c r="B2111" t="str">
        <f>"LQ3799"</f>
        <v>LQ3799</v>
      </c>
      <c r="C2111" t="s">
        <v>2054</v>
      </c>
    </row>
    <row r="2112" spans="1:3" x14ac:dyDescent="0.25">
      <c r="A2112" t="str">
        <f>"0611832205100"</f>
        <v>0611832205100</v>
      </c>
      <c r="B2112" t="str">
        <f>"LQ3458"</f>
        <v>LQ3458</v>
      </c>
      <c r="C2112" t="s">
        <v>2055</v>
      </c>
    </row>
    <row r="2113" spans="1:3" x14ac:dyDescent="0.25">
      <c r="A2113" t="str">
        <f>"0611832206100"</f>
        <v>0611832206100</v>
      </c>
      <c r="B2113" t="str">
        <f>"LQ3459"</f>
        <v>LQ3459</v>
      </c>
      <c r="C2113" t="s">
        <v>2056</v>
      </c>
    </row>
    <row r="2114" spans="1:3" x14ac:dyDescent="0.25">
      <c r="A2114" t="str">
        <f>"0611860937050"</f>
        <v>0611860937050</v>
      </c>
      <c r="B2114" t="str">
        <f>"CR3072"</f>
        <v>CR3072</v>
      </c>
      <c r="C2114" t="s">
        <v>2057</v>
      </c>
    </row>
    <row r="2115" spans="1:3" x14ac:dyDescent="0.25">
      <c r="A2115" t="str">
        <f>"0611860938050"</f>
        <v>0611860938050</v>
      </c>
      <c r="B2115" t="str">
        <f>"CR3073"</f>
        <v>CR3073</v>
      </c>
      <c r="C2115" t="s">
        <v>2058</v>
      </c>
    </row>
    <row r="2116" spans="1:3" x14ac:dyDescent="0.25">
      <c r="A2116" t="str">
        <f>"0611860939050"</f>
        <v>0611860939050</v>
      </c>
      <c r="B2116" t="str">
        <f>"CR2105"</f>
        <v>CR2105</v>
      </c>
      <c r="C2116" t="s">
        <v>2060</v>
      </c>
    </row>
    <row r="2117" spans="1:3" x14ac:dyDescent="0.25">
      <c r="A2117" t="str">
        <f>"0611860941050"</f>
        <v>0611860941050</v>
      </c>
      <c r="B2117" t="str">
        <f>"CR3074"</f>
        <v>CR3074</v>
      </c>
      <c r="C2117" t="s">
        <v>2061</v>
      </c>
    </row>
    <row r="2118" spans="1:3" x14ac:dyDescent="0.25">
      <c r="A2118" t="str">
        <f>"0611860947050"</f>
        <v>0611860947050</v>
      </c>
      <c r="B2118" t="str">
        <f>"CR4635"</f>
        <v>CR4635</v>
      </c>
      <c r="C2118" t="s">
        <v>13797</v>
      </c>
    </row>
    <row r="2119" spans="1:3" x14ac:dyDescent="0.25">
      <c r="A2119" t="str">
        <f>"0611860951050"</f>
        <v>0611860951050</v>
      </c>
      <c r="B2119" t="str">
        <f>"CR4662"</f>
        <v>CR4662</v>
      </c>
      <c r="C2119" t="s">
        <v>13798</v>
      </c>
    </row>
    <row r="2120" spans="1:3" x14ac:dyDescent="0.25">
      <c r="A2120" t="str">
        <f>"0611860963050"</f>
        <v>0611860963050</v>
      </c>
      <c r="B2120" t="str">
        <f>"CR4670"</f>
        <v>CR4670</v>
      </c>
      <c r="C2120" t="s">
        <v>13799</v>
      </c>
    </row>
    <row r="2121" spans="1:3" x14ac:dyDescent="0.25">
      <c r="A2121" t="str">
        <f>"0611861006050"</f>
        <v>0611861006050</v>
      </c>
      <c r="B2121" t="str">
        <f>"CR4704"</f>
        <v>CR4704</v>
      </c>
      <c r="C2121" t="s">
        <v>13800</v>
      </c>
    </row>
    <row r="2122" spans="1:3" x14ac:dyDescent="0.25">
      <c r="A2122" t="str">
        <f>"0611906697100"</f>
        <v>0611906697100</v>
      </c>
      <c r="B2122" t="str">
        <f>"LG8057"</f>
        <v>LG8057</v>
      </c>
      <c r="C2122" t="s">
        <v>2065</v>
      </c>
    </row>
    <row r="2123" spans="1:3" x14ac:dyDescent="0.25">
      <c r="A2123" t="str">
        <f>"0611832209100"</f>
        <v>0611832209100</v>
      </c>
      <c r="B2123" t="str">
        <f>"MB1115"</f>
        <v>MB1115</v>
      </c>
      <c r="C2123" t="s">
        <v>2062</v>
      </c>
    </row>
    <row r="2124" spans="1:3" x14ac:dyDescent="0.25">
      <c r="A2124" t="str">
        <f>"0611832226100"</f>
        <v>0611832226100</v>
      </c>
      <c r="B2124" t="str">
        <f>"LF1115"</f>
        <v>LF1115</v>
      </c>
      <c r="C2124" t="s">
        <v>2063</v>
      </c>
    </row>
    <row r="2125" spans="1:3" x14ac:dyDescent="0.25">
      <c r="A2125" t="str">
        <f>"0611832225100"</f>
        <v>0611832225100</v>
      </c>
      <c r="B2125" t="str">
        <f>"LF0032"</f>
        <v>LF0032</v>
      </c>
      <c r="C2125" t="s">
        <v>2064</v>
      </c>
    </row>
    <row r="2126" spans="1:3" x14ac:dyDescent="0.25">
      <c r="A2126" t="str">
        <f>"0611832228100"</f>
        <v>0611832228100</v>
      </c>
      <c r="B2126" t="str">
        <f>"LK6898"</f>
        <v>LK6898</v>
      </c>
      <c r="C2126" t="s">
        <v>2066</v>
      </c>
    </row>
    <row r="2127" spans="1:3" x14ac:dyDescent="0.25">
      <c r="A2127" t="str">
        <f>"0611832229100"</f>
        <v>0611832229100</v>
      </c>
      <c r="B2127" t="str">
        <f>"LK4791"</f>
        <v>LK4791</v>
      </c>
      <c r="C2127" t="s">
        <v>2067</v>
      </c>
    </row>
    <row r="2128" spans="1:3" x14ac:dyDescent="0.25">
      <c r="A2128" t="str">
        <f>"0611861080050"</f>
        <v>0611861080050</v>
      </c>
      <c r="B2128" t="str">
        <f>"CE1301"</f>
        <v>CE1301</v>
      </c>
      <c r="C2128" t="s">
        <v>2068</v>
      </c>
    </row>
    <row r="2129" spans="1:3" x14ac:dyDescent="0.25">
      <c r="A2129" t="str">
        <f>"0611861081050"</f>
        <v>0611861081050</v>
      </c>
      <c r="B2129" t="str">
        <f>"CE0968"</f>
        <v>CE0968</v>
      </c>
      <c r="C2129" t="s">
        <v>2069</v>
      </c>
    </row>
    <row r="2130" spans="1:3" x14ac:dyDescent="0.25">
      <c r="A2130" t="str">
        <f>"0611832237025"</f>
        <v>0611832237025</v>
      </c>
      <c r="B2130" t="str">
        <f>"MC1521"</f>
        <v>MC1521</v>
      </c>
      <c r="C2130" t="s">
        <v>2070</v>
      </c>
    </row>
    <row r="2131" spans="1:3" x14ac:dyDescent="0.25">
      <c r="A2131" t="str">
        <f>"0611832238025"</f>
        <v>0611832238025</v>
      </c>
      <c r="B2131" t="str">
        <f>"MC0162"</f>
        <v>MC0162</v>
      </c>
      <c r="C2131" t="s">
        <v>2072</v>
      </c>
    </row>
    <row r="2132" spans="1:3" x14ac:dyDescent="0.25">
      <c r="A2132" t="str">
        <f>"0611832239100"</f>
        <v>0611832239100</v>
      </c>
      <c r="B2132" t="str">
        <f>"LH1536"</f>
        <v>LH1536</v>
      </c>
      <c r="C2132" t="s">
        <v>2074</v>
      </c>
    </row>
    <row r="2133" spans="1:3" x14ac:dyDescent="0.25">
      <c r="A2133" t="str">
        <f>"0611832240025"</f>
        <v>0611832240025</v>
      </c>
      <c r="B2133" t="str">
        <f>"MC0159"</f>
        <v>MC0159</v>
      </c>
      <c r="C2133" t="s">
        <v>2075</v>
      </c>
    </row>
    <row r="2134" spans="1:3" x14ac:dyDescent="0.25">
      <c r="A2134" t="str">
        <f>"0611832243100"</f>
        <v>0611832243100</v>
      </c>
      <c r="B2134" t="str">
        <f>"LG0025"</f>
        <v>LG0025</v>
      </c>
      <c r="C2134" t="s">
        <v>2095</v>
      </c>
    </row>
    <row r="2135" spans="1:3" x14ac:dyDescent="0.25">
      <c r="A2135" t="str">
        <f>"0611832244100"</f>
        <v>0611832244100</v>
      </c>
      <c r="B2135" t="str">
        <f>"LK6686"</f>
        <v>LK6686</v>
      </c>
      <c r="C2135" t="s">
        <v>2105</v>
      </c>
    </row>
    <row r="2136" spans="1:3" x14ac:dyDescent="0.25">
      <c r="A2136" t="str">
        <f>"0611832245025"</f>
        <v>0611832245025</v>
      </c>
      <c r="B2136" t="str">
        <f>"MQ0614"</f>
        <v>MQ0614</v>
      </c>
      <c r="C2136" t="s">
        <v>2076</v>
      </c>
    </row>
    <row r="2137" spans="1:3" x14ac:dyDescent="0.25">
      <c r="A2137" t="str">
        <f>"0611832246025"</f>
        <v>0611832246025</v>
      </c>
      <c r="B2137" t="str">
        <f>"MC4380"</f>
        <v>MC4380</v>
      </c>
      <c r="C2137" t="s">
        <v>2077</v>
      </c>
    </row>
    <row r="2138" spans="1:3" x14ac:dyDescent="0.25">
      <c r="A2138" t="str">
        <f>"0611906700025"</f>
        <v>0611906700025</v>
      </c>
      <c r="B2138" t="str">
        <f>"MQ7577"</f>
        <v>MQ7577</v>
      </c>
      <c r="C2138" t="s">
        <v>2078</v>
      </c>
    </row>
    <row r="2139" spans="1:3" x14ac:dyDescent="0.25">
      <c r="A2139" t="str">
        <f>"0611832247025"</f>
        <v>0611832247025</v>
      </c>
      <c r="B2139" t="str">
        <f>"MC3695"</f>
        <v>MC3695</v>
      </c>
      <c r="C2139" t="s">
        <v>2079</v>
      </c>
    </row>
    <row r="2140" spans="1:3" x14ac:dyDescent="0.25">
      <c r="A2140" t="str">
        <f>"0611832249100"</f>
        <v>0611832249100</v>
      </c>
      <c r="B2140" t="str">
        <f>"LH1534"</f>
        <v>LH1534</v>
      </c>
      <c r="C2140" t="s">
        <v>2080</v>
      </c>
    </row>
    <row r="2141" spans="1:3" x14ac:dyDescent="0.25">
      <c r="A2141" t="str">
        <f>"0611832250025"</f>
        <v>0611832250025</v>
      </c>
      <c r="B2141" t="str">
        <f>"MC0154"</f>
        <v>MC0154</v>
      </c>
      <c r="C2141" t="s">
        <v>2081</v>
      </c>
    </row>
    <row r="2142" spans="1:3" x14ac:dyDescent="0.25">
      <c r="A2142" t="str">
        <f>"0611832251100"</f>
        <v>0611832251100</v>
      </c>
      <c r="B2142" t="str">
        <f>"LH1544"</f>
        <v>LH1544</v>
      </c>
      <c r="C2142" t="s">
        <v>2082</v>
      </c>
    </row>
    <row r="2143" spans="1:3" x14ac:dyDescent="0.25">
      <c r="A2143" t="str">
        <f>"0611832252025"</f>
        <v>0611832252025</v>
      </c>
      <c r="B2143" t="str">
        <f>"MC0842"</f>
        <v>MC0842</v>
      </c>
      <c r="C2143" t="s">
        <v>2083</v>
      </c>
    </row>
    <row r="2144" spans="1:3" x14ac:dyDescent="0.25">
      <c r="A2144" t="str">
        <f>"0611832253100"</f>
        <v>0611832253100</v>
      </c>
      <c r="B2144" t="str">
        <f>"LH1547"</f>
        <v>LH1547</v>
      </c>
      <c r="C2144" t="s">
        <v>2084</v>
      </c>
    </row>
    <row r="2145" spans="1:3" x14ac:dyDescent="0.25">
      <c r="A2145" t="str">
        <f>"0611832254025"</f>
        <v>0611832254025</v>
      </c>
      <c r="B2145" t="str">
        <f>"MC0155"</f>
        <v>MC0155</v>
      </c>
      <c r="C2145" t="s">
        <v>2085</v>
      </c>
    </row>
    <row r="2146" spans="1:3" x14ac:dyDescent="0.25">
      <c r="A2146" t="str">
        <f>"0611832256025"</f>
        <v>0611832256025</v>
      </c>
      <c r="B2146" t="str">
        <f>"MC4142"</f>
        <v>MC4142</v>
      </c>
      <c r="C2146" t="s">
        <v>2086</v>
      </c>
    </row>
    <row r="2147" spans="1:3" x14ac:dyDescent="0.25">
      <c r="A2147" t="str">
        <f>"0611832258025"</f>
        <v>0611832258025</v>
      </c>
      <c r="B2147" t="str">
        <f>"MC4283"</f>
        <v>MC4283</v>
      </c>
      <c r="C2147" t="s">
        <v>2087</v>
      </c>
    </row>
    <row r="2148" spans="1:3" x14ac:dyDescent="0.25">
      <c r="A2148" t="str">
        <f>"0611832259025"</f>
        <v>0611832259025</v>
      </c>
      <c r="B2148" t="str">
        <f>"MC3129"</f>
        <v>MC3129</v>
      </c>
      <c r="C2148" t="s">
        <v>2088</v>
      </c>
    </row>
    <row r="2149" spans="1:3" x14ac:dyDescent="0.25">
      <c r="A2149" t="str">
        <f>"0611832260025"</f>
        <v>0611832260025</v>
      </c>
      <c r="B2149" t="str">
        <f>"MQ0160"</f>
        <v>MQ0160</v>
      </c>
      <c r="C2149" t="s">
        <v>2089</v>
      </c>
    </row>
    <row r="2150" spans="1:3" x14ac:dyDescent="0.25">
      <c r="A2150" t="str">
        <f>"0611906698100"</f>
        <v>0611906698100</v>
      </c>
      <c r="B2150" t="str">
        <f>"LG0023"</f>
        <v>LG0023</v>
      </c>
      <c r="C2150" t="s">
        <v>2071</v>
      </c>
    </row>
    <row r="2151" spans="1:3" x14ac:dyDescent="0.25">
      <c r="A2151" t="str">
        <f>"0611832267100"</f>
        <v>0611832267100</v>
      </c>
      <c r="B2151" t="str">
        <f>"LH1540"</f>
        <v>LH1540</v>
      </c>
      <c r="C2151" t="s">
        <v>2090</v>
      </c>
    </row>
    <row r="2152" spans="1:3" x14ac:dyDescent="0.25">
      <c r="A2152" t="str">
        <f>"0611832268100"</f>
        <v>0611832268100</v>
      </c>
      <c r="B2152" t="str">
        <f>"LH8888"</f>
        <v>LH8888</v>
      </c>
      <c r="C2152" t="s">
        <v>2091</v>
      </c>
    </row>
    <row r="2153" spans="1:3" x14ac:dyDescent="0.25">
      <c r="A2153" t="str">
        <f>"0611832269025"</f>
        <v>0611832269025</v>
      </c>
      <c r="B2153" t="str">
        <f>"MC4264"</f>
        <v>MC4264</v>
      </c>
      <c r="C2153" t="s">
        <v>2092</v>
      </c>
    </row>
    <row r="2154" spans="1:3" x14ac:dyDescent="0.25">
      <c r="A2154" t="str">
        <f>"0611832270100"</f>
        <v>0611832270100</v>
      </c>
      <c r="B2154" t="str">
        <f>"LH8889"</f>
        <v>LH8889</v>
      </c>
      <c r="C2154" t="s">
        <v>2093</v>
      </c>
    </row>
    <row r="2155" spans="1:3" x14ac:dyDescent="0.25">
      <c r="A2155" t="str">
        <f>"0611832271025"</f>
        <v>0611832271025</v>
      </c>
      <c r="B2155" t="str">
        <f>"MC4265"</f>
        <v>MC4265</v>
      </c>
      <c r="C2155" t="s">
        <v>2094</v>
      </c>
    </row>
    <row r="2156" spans="1:3" x14ac:dyDescent="0.25">
      <c r="A2156" t="str">
        <f>"0611832272025"</f>
        <v>0611832272025</v>
      </c>
      <c r="B2156" t="str">
        <f>"MC0163"</f>
        <v>MC0163</v>
      </c>
      <c r="C2156" t="s">
        <v>2096</v>
      </c>
    </row>
    <row r="2157" spans="1:3" x14ac:dyDescent="0.25">
      <c r="A2157" t="str">
        <f>"0611832274025"</f>
        <v>0611832274025</v>
      </c>
      <c r="B2157" t="str">
        <f>"MC4143"</f>
        <v>MC4143</v>
      </c>
      <c r="C2157" t="s">
        <v>2097</v>
      </c>
    </row>
    <row r="2158" spans="1:3" x14ac:dyDescent="0.25">
      <c r="A2158" t="str">
        <f>"0611832275025"</f>
        <v>0611832275025</v>
      </c>
      <c r="B2158" t="str">
        <f>"MC4144"</f>
        <v>MC4144</v>
      </c>
      <c r="C2158" t="s">
        <v>2098</v>
      </c>
    </row>
    <row r="2159" spans="1:3" x14ac:dyDescent="0.25">
      <c r="A2159" t="str">
        <f>"0611832276025"</f>
        <v>0611832276025</v>
      </c>
      <c r="B2159" t="str">
        <f>"MC4145"</f>
        <v>MC4145</v>
      </c>
      <c r="C2159" t="s">
        <v>2099</v>
      </c>
    </row>
    <row r="2160" spans="1:3" x14ac:dyDescent="0.25">
      <c r="A2160" t="str">
        <f>"0611832277100"</f>
        <v>0611832277100</v>
      </c>
      <c r="B2160" t="str">
        <f>"LH8890"</f>
        <v>LH8890</v>
      </c>
      <c r="C2160" t="s">
        <v>2100</v>
      </c>
    </row>
    <row r="2161" spans="1:3" x14ac:dyDescent="0.25">
      <c r="A2161" t="str">
        <f>"0611832278025"</f>
        <v>0611832278025</v>
      </c>
      <c r="B2161" t="str">
        <f>"MC4146"</f>
        <v>MC4146</v>
      </c>
      <c r="C2161" t="s">
        <v>2101</v>
      </c>
    </row>
    <row r="2162" spans="1:3" x14ac:dyDescent="0.25">
      <c r="A2162" t="str">
        <f>"0611832279100"</f>
        <v>0611832279100</v>
      </c>
      <c r="B2162" t="str">
        <f>"LH8891"</f>
        <v>LH8891</v>
      </c>
      <c r="C2162" t="s">
        <v>2102</v>
      </c>
    </row>
    <row r="2163" spans="1:3" x14ac:dyDescent="0.25">
      <c r="A2163" t="str">
        <f>"0611832280025"</f>
        <v>0611832280025</v>
      </c>
      <c r="B2163" t="str">
        <f>"MC4147"</f>
        <v>MC4147</v>
      </c>
      <c r="C2163" t="s">
        <v>2103</v>
      </c>
    </row>
    <row r="2164" spans="1:3" x14ac:dyDescent="0.25">
      <c r="A2164" t="str">
        <f>"0611832281025"</f>
        <v>0611832281025</v>
      </c>
      <c r="B2164" t="str">
        <f>"MC3001"</f>
        <v>MC3001</v>
      </c>
      <c r="C2164" t="s">
        <v>2104</v>
      </c>
    </row>
    <row r="2165" spans="1:3" x14ac:dyDescent="0.25">
      <c r="A2165" t="str">
        <f>"0611832282025"</f>
        <v>0611832282025</v>
      </c>
      <c r="B2165" t="str">
        <f>"MC4381"</f>
        <v>MC4381</v>
      </c>
      <c r="C2165" t="s">
        <v>2106</v>
      </c>
    </row>
    <row r="2166" spans="1:3" x14ac:dyDescent="0.25">
      <c r="A2166" t="str">
        <f>"0611861084050"</f>
        <v>0611861084050</v>
      </c>
      <c r="B2166" t="str">
        <f>"CE1710"</f>
        <v>CE1710</v>
      </c>
      <c r="C2166" t="s">
        <v>2107</v>
      </c>
    </row>
    <row r="2167" spans="1:3" x14ac:dyDescent="0.25">
      <c r="A2167" t="str">
        <f>"0611832283025"</f>
        <v>0611832283025</v>
      </c>
      <c r="B2167" t="str">
        <f>"MC4382"</f>
        <v>MC4382</v>
      </c>
      <c r="C2167" t="s">
        <v>2108</v>
      </c>
    </row>
    <row r="2168" spans="1:3" x14ac:dyDescent="0.25">
      <c r="A2168" t="str">
        <f>"0611861085050"</f>
        <v>0611861085050</v>
      </c>
      <c r="B2168" t="str">
        <f>"CE1711"</f>
        <v>CE1711</v>
      </c>
      <c r="C2168" t="s">
        <v>2109</v>
      </c>
    </row>
    <row r="2169" spans="1:3" x14ac:dyDescent="0.25">
      <c r="A2169" t="str">
        <f>"0611832284025"</f>
        <v>0611832284025</v>
      </c>
      <c r="B2169" t="str">
        <f>"MC4383"</f>
        <v>MC4383</v>
      </c>
      <c r="C2169" t="s">
        <v>2110</v>
      </c>
    </row>
    <row r="2170" spans="1:3" x14ac:dyDescent="0.25">
      <c r="A2170" t="str">
        <f>"0611861086050"</f>
        <v>0611861086050</v>
      </c>
      <c r="B2170" t="str">
        <f>"CE1712"</f>
        <v>CE1712</v>
      </c>
      <c r="C2170" t="s">
        <v>2111</v>
      </c>
    </row>
    <row r="2171" spans="1:3" x14ac:dyDescent="0.25">
      <c r="A2171" t="str">
        <f>"0611832285025"</f>
        <v>0611832285025</v>
      </c>
      <c r="B2171" t="str">
        <f>"MC0157"</f>
        <v>MC0157</v>
      </c>
      <c r="C2171" t="s">
        <v>2112</v>
      </c>
    </row>
    <row r="2172" spans="1:3" x14ac:dyDescent="0.25">
      <c r="A2172" t="str">
        <f>"0611832288025"</f>
        <v>0611832288025</v>
      </c>
      <c r="B2172" t="str">
        <f>"MC4010"</f>
        <v>MC4010</v>
      </c>
      <c r="C2172" t="s">
        <v>2113</v>
      </c>
    </row>
    <row r="2173" spans="1:3" x14ac:dyDescent="0.25">
      <c r="A2173" t="str">
        <f>"0611832289025"</f>
        <v>0611832289025</v>
      </c>
      <c r="B2173" t="str">
        <f>"MC2696"</f>
        <v>MC2696</v>
      </c>
      <c r="C2173" t="s">
        <v>2114</v>
      </c>
    </row>
    <row r="2174" spans="1:3" x14ac:dyDescent="0.25">
      <c r="A2174" t="str">
        <f>"0611906699025"</f>
        <v>0611906699025</v>
      </c>
      <c r="B2174" t="str">
        <f>"MQ7038"</f>
        <v>MQ7038</v>
      </c>
      <c r="C2174" t="s">
        <v>2073</v>
      </c>
    </row>
    <row r="2175" spans="1:3" x14ac:dyDescent="0.25">
      <c r="A2175" t="str">
        <f>"0611832293100"</f>
        <v>0611832293100</v>
      </c>
      <c r="B2175" t="str">
        <f>"LK5665"</f>
        <v>LK5665</v>
      </c>
      <c r="C2175" t="s">
        <v>2118</v>
      </c>
    </row>
    <row r="2176" spans="1:3" x14ac:dyDescent="0.25">
      <c r="A2176" t="str">
        <f>"0611832294025"</f>
        <v>0611832294025</v>
      </c>
      <c r="B2176" t="str">
        <f>"MC4148"</f>
        <v>MC4148</v>
      </c>
      <c r="C2176" t="s">
        <v>2115</v>
      </c>
    </row>
    <row r="2177" spans="1:3" x14ac:dyDescent="0.25">
      <c r="A2177" t="str">
        <f>"0611832295100"</f>
        <v>0611832295100</v>
      </c>
      <c r="B2177" t="str">
        <f>"LK2603"</f>
        <v>LK2603</v>
      </c>
      <c r="C2177" t="s">
        <v>2116</v>
      </c>
    </row>
    <row r="2178" spans="1:3" x14ac:dyDescent="0.25">
      <c r="A2178" t="str">
        <f>"0611832296100"</f>
        <v>0611832296100</v>
      </c>
      <c r="B2178" t="str">
        <f>"LK6997"</f>
        <v>LK6997</v>
      </c>
      <c r="C2178" t="s">
        <v>2117</v>
      </c>
    </row>
    <row r="2179" spans="1:3" x14ac:dyDescent="0.25">
      <c r="A2179" t="str">
        <f>"0611832297100"</f>
        <v>0611832297100</v>
      </c>
      <c r="B2179" t="str">
        <f>"LK6001"</f>
        <v>LK6001</v>
      </c>
      <c r="C2179" t="s">
        <v>2119</v>
      </c>
    </row>
    <row r="2180" spans="1:3" x14ac:dyDescent="0.25">
      <c r="A2180" t="str">
        <f>"0611832298100"</f>
        <v>0611832298100</v>
      </c>
      <c r="B2180" t="str">
        <f>"LK6002"</f>
        <v>LK6002</v>
      </c>
      <c r="C2180" t="s">
        <v>2120</v>
      </c>
    </row>
    <row r="2181" spans="1:3" x14ac:dyDescent="0.25">
      <c r="A2181" t="str">
        <f>"0611832299100"</f>
        <v>0611832299100</v>
      </c>
      <c r="B2181" t="str">
        <f>"LK6041"</f>
        <v>LK6041</v>
      </c>
      <c r="C2181" t="s">
        <v>2121</v>
      </c>
    </row>
    <row r="2182" spans="1:3" x14ac:dyDescent="0.25">
      <c r="A2182" t="str">
        <f>"0611832300100"</f>
        <v>0611832300100</v>
      </c>
      <c r="B2182" t="str">
        <f>"LK6352"</f>
        <v>LK6352</v>
      </c>
      <c r="C2182" t="s">
        <v>2122</v>
      </c>
    </row>
    <row r="2183" spans="1:3" x14ac:dyDescent="0.25">
      <c r="A2183" t="str">
        <f>"0611856860100"</f>
        <v>0611856860100</v>
      </c>
      <c r="B2183" t="str">
        <f>"LK7047"</f>
        <v>LK7047</v>
      </c>
      <c r="C2183" t="s">
        <v>2123</v>
      </c>
    </row>
    <row r="2184" spans="1:3" x14ac:dyDescent="0.25">
      <c r="A2184" t="str">
        <f>"0611832301100"</f>
        <v>0611832301100</v>
      </c>
      <c r="B2184" t="str">
        <f>"LK5541"</f>
        <v>LK5541</v>
      </c>
      <c r="C2184" t="s">
        <v>2124</v>
      </c>
    </row>
    <row r="2185" spans="1:3" x14ac:dyDescent="0.25">
      <c r="A2185" t="str">
        <f>"0611832302025"</f>
        <v>0611832302025</v>
      </c>
      <c r="B2185" t="str">
        <f>"MC4149"</f>
        <v>MC4149</v>
      </c>
      <c r="C2185" t="s">
        <v>2125</v>
      </c>
    </row>
    <row r="2186" spans="1:3" x14ac:dyDescent="0.25">
      <c r="A2186" t="str">
        <f>"0611832303100"</f>
        <v>0611832303100</v>
      </c>
      <c r="B2186" t="str">
        <f>"LK5542"</f>
        <v>LK5542</v>
      </c>
      <c r="C2186" t="s">
        <v>2126</v>
      </c>
    </row>
    <row r="2187" spans="1:3" x14ac:dyDescent="0.25">
      <c r="A2187" t="str">
        <f>"0611906701100"</f>
        <v>0611906701100</v>
      </c>
      <c r="B2187" t="str">
        <f>"LK7207"</f>
        <v>LK7207</v>
      </c>
      <c r="C2187" t="s">
        <v>2127</v>
      </c>
    </row>
    <row r="2188" spans="1:3" x14ac:dyDescent="0.25">
      <c r="A2188" t="str">
        <f>"0611832305100"</f>
        <v>0611832305100</v>
      </c>
      <c r="B2188" t="str">
        <f>"LK6637"</f>
        <v>LK6637</v>
      </c>
      <c r="C2188" t="s">
        <v>2128</v>
      </c>
    </row>
    <row r="2189" spans="1:3" x14ac:dyDescent="0.25">
      <c r="A2189" t="str">
        <f>"0611832306100"</f>
        <v>0611832306100</v>
      </c>
      <c r="B2189" t="str">
        <f>"LK5543"</f>
        <v>LK5543</v>
      </c>
      <c r="C2189" t="s">
        <v>2129</v>
      </c>
    </row>
    <row r="2190" spans="1:3" x14ac:dyDescent="0.25">
      <c r="A2190" t="str">
        <f>"0611832307025"</f>
        <v>0611832307025</v>
      </c>
      <c r="B2190" t="str">
        <f>"MC4151"</f>
        <v>MC4151</v>
      </c>
      <c r="C2190" t="s">
        <v>2130</v>
      </c>
    </row>
    <row r="2191" spans="1:3" x14ac:dyDescent="0.25">
      <c r="A2191" t="str">
        <f>"0611832291100"</f>
        <v>0611832291100</v>
      </c>
      <c r="B2191" t="str">
        <f>"LK0099"</f>
        <v>LK0099</v>
      </c>
      <c r="C2191" t="s">
        <v>2131</v>
      </c>
    </row>
    <row r="2192" spans="1:3" x14ac:dyDescent="0.25">
      <c r="A2192" t="str">
        <f>"0611832292025"</f>
        <v>0611832292025</v>
      </c>
      <c r="B2192" t="str">
        <f>"MC0845"</f>
        <v>MC0845</v>
      </c>
      <c r="C2192" t="s">
        <v>2132</v>
      </c>
    </row>
    <row r="2193" spans="1:3" x14ac:dyDescent="0.25">
      <c r="A2193" t="str">
        <f>"0611832308100"</f>
        <v>0611832308100</v>
      </c>
      <c r="B2193" t="str">
        <f>"LK5647"</f>
        <v>LK5647</v>
      </c>
      <c r="C2193" t="s">
        <v>2133</v>
      </c>
    </row>
    <row r="2194" spans="1:3" x14ac:dyDescent="0.25">
      <c r="A2194" t="str">
        <f>"0611832309100"</f>
        <v>0611832309100</v>
      </c>
      <c r="B2194" t="str">
        <f>"LK6371"</f>
        <v>LK6371</v>
      </c>
      <c r="C2194" t="s">
        <v>2134</v>
      </c>
    </row>
    <row r="2195" spans="1:3" x14ac:dyDescent="0.25">
      <c r="A2195" t="str">
        <f>"0611832310100"</f>
        <v>0611832310100</v>
      </c>
      <c r="B2195" t="str">
        <f>"LK6326"</f>
        <v>LK6326</v>
      </c>
      <c r="C2195" t="s">
        <v>2135</v>
      </c>
    </row>
    <row r="2196" spans="1:3" x14ac:dyDescent="0.25">
      <c r="A2196" t="str">
        <f>"0611832311100"</f>
        <v>0611832311100</v>
      </c>
      <c r="B2196" t="str">
        <f>"LK6372"</f>
        <v>LK6372</v>
      </c>
      <c r="C2196" t="s">
        <v>2136</v>
      </c>
    </row>
    <row r="2197" spans="1:3" x14ac:dyDescent="0.25">
      <c r="A2197" t="str">
        <f>"0611832312100"</f>
        <v>0611832312100</v>
      </c>
      <c r="B2197" t="str">
        <f>"LK5428"</f>
        <v>LK5428</v>
      </c>
      <c r="C2197" t="s">
        <v>2137</v>
      </c>
    </row>
    <row r="2198" spans="1:3" x14ac:dyDescent="0.25">
      <c r="A2198" t="str">
        <f>"0611832313100"</f>
        <v>0611832313100</v>
      </c>
      <c r="B2198" t="str">
        <f>"LK4644"</f>
        <v>LK4644</v>
      </c>
      <c r="C2198" t="s">
        <v>2138</v>
      </c>
    </row>
    <row r="2199" spans="1:3" x14ac:dyDescent="0.25">
      <c r="A2199" t="str">
        <f>"0611832314100"</f>
        <v>0611832314100</v>
      </c>
      <c r="B2199" t="str">
        <f>"LK0665"</f>
        <v>LK0665</v>
      </c>
      <c r="C2199" t="s">
        <v>2139</v>
      </c>
    </row>
    <row r="2200" spans="1:3" x14ac:dyDescent="0.25">
      <c r="A2200" t="str">
        <f>"0611832315100"</f>
        <v>0611832315100</v>
      </c>
      <c r="B2200" t="str">
        <f>"LB1600"</f>
        <v>LB1600</v>
      </c>
      <c r="C2200" t="s">
        <v>2140</v>
      </c>
    </row>
    <row r="2201" spans="1:3" x14ac:dyDescent="0.25">
      <c r="A2201" t="str">
        <f>"0611832316100"</f>
        <v>0611832316100</v>
      </c>
      <c r="B2201" t="str">
        <f>"LB1601"</f>
        <v>LB1601</v>
      </c>
      <c r="C2201" t="s">
        <v>2141</v>
      </c>
    </row>
    <row r="2202" spans="1:3" x14ac:dyDescent="0.25">
      <c r="A2202" t="str">
        <f>"0611832317100"</f>
        <v>0611832317100</v>
      </c>
      <c r="B2202" t="str">
        <f>"LK2770"</f>
        <v>LK2770</v>
      </c>
      <c r="C2202" t="s">
        <v>2142</v>
      </c>
    </row>
    <row r="2203" spans="1:3" x14ac:dyDescent="0.25">
      <c r="A2203" t="str">
        <f>"0611832318100"</f>
        <v>0611832318100</v>
      </c>
      <c r="B2203" t="str">
        <f>"LK0664"</f>
        <v>LK0664</v>
      </c>
      <c r="C2203" t="s">
        <v>2143</v>
      </c>
    </row>
    <row r="2204" spans="1:3" x14ac:dyDescent="0.25">
      <c r="A2204" t="str">
        <f>"0611832579100"</f>
        <v>0611832579100</v>
      </c>
      <c r="B2204" t="str">
        <f>"LC5400"</f>
        <v>LC5400</v>
      </c>
      <c r="C2204" t="s">
        <v>2154</v>
      </c>
    </row>
    <row r="2205" spans="1:3" x14ac:dyDescent="0.25">
      <c r="A2205" t="str">
        <f>"0611833652100"</f>
        <v>0611833652100</v>
      </c>
      <c r="B2205" t="str">
        <f>"LL1191"</f>
        <v>LL1191</v>
      </c>
      <c r="C2205" t="s">
        <v>3577</v>
      </c>
    </row>
    <row r="2206" spans="1:3" x14ac:dyDescent="0.25">
      <c r="A2206" t="str">
        <f>"0611832570025"</f>
        <v>0611832570025</v>
      </c>
      <c r="B2206" t="str">
        <f>"MC2665"</f>
        <v>MC2665</v>
      </c>
      <c r="C2206" t="s">
        <v>2144</v>
      </c>
    </row>
    <row r="2207" spans="1:3" x14ac:dyDescent="0.25">
      <c r="A2207" t="str">
        <f>"0611832571025"</f>
        <v>0611832571025</v>
      </c>
      <c r="B2207" t="str">
        <f>"MC2664"</f>
        <v>MC2664</v>
      </c>
      <c r="C2207" t="s">
        <v>2145</v>
      </c>
    </row>
    <row r="2208" spans="1:3" x14ac:dyDescent="0.25">
      <c r="A2208" t="str">
        <f>"0611832574025"</f>
        <v>0611832574025</v>
      </c>
      <c r="B2208" t="str">
        <f>"MC3888"</f>
        <v>MC3888</v>
      </c>
      <c r="C2208" t="s">
        <v>2146</v>
      </c>
    </row>
    <row r="2209" spans="1:3" x14ac:dyDescent="0.25">
      <c r="A2209" t="str">
        <f>"0611832575025"</f>
        <v>0611832575025</v>
      </c>
      <c r="B2209" t="str">
        <f>"MC1907"</f>
        <v>MC1907</v>
      </c>
      <c r="C2209" t="s">
        <v>2147</v>
      </c>
    </row>
    <row r="2210" spans="1:3" x14ac:dyDescent="0.25">
      <c r="A2210" t="str">
        <f>"0611832576025"</f>
        <v>0611832576025</v>
      </c>
      <c r="B2210" t="str">
        <f>"MC3395"</f>
        <v>MC3395</v>
      </c>
      <c r="C2210" t="s">
        <v>2148</v>
      </c>
    </row>
    <row r="2211" spans="1:3" x14ac:dyDescent="0.25">
      <c r="A2211" t="str">
        <f>"0611832577025"</f>
        <v>0611832577025</v>
      </c>
      <c r="B2211" t="str">
        <f>"MC3351"</f>
        <v>MC3351</v>
      </c>
      <c r="C2211" t="s">
        <v>2149</v>
      </c>
    </row>
    <row r="2212" spans="1:3" x14ac:dyDescent="0.25">
      <c r="A2212" t="str">
        <f>"0611832578025"</f>
        <v>0611832578025</v>
      </c>
      <c r="B2212" t="str">
        <f>"MC2663"</f>
        <v>MC2663</v>
      </c>
      <c r="C2212" t="s">
        <v>2150</v>
      </c>
    </row>
    <row r="2213" spans="1:3" x14ac:dyDescent="0.25">
      <c r="A2213" t="str">
        <f>"0611833716100"</f>
        <v>0611833716100</v>
      </c>
      <c r="B2213" t="str">
        <f>"LL0890"</f>
        <v>LL0890</v>
      </c>
      <c r="C2213" t="s">
        <v>2151</v>
      </c>
    </row>
    <row r="2214" spans="1:3" x14ac:dyDescent="0.25">
      <c r="A2214" t="str">
        <f>"0611833718100"</f>
        <v>0611833718100</v>
      </c>
      <c r="B2214" t="str">
        <f>"LL5010"</f>
        <v>LL5010</v>
      </c>
      <c r="C2214" t="s">
        <v>2152</v>
      </c>
    </row>
    <row r="2215" spans="1:3" x14ac:dyDescent="0.25">
      <c r="A2215" t="str">
        <f>"0611833717100"</f>
        <v>0611833717100</v>
      </c>
      <c r="B2215" t="str">
        <f>"LL0115"</f>
        <v>LL0115</v>
      </c>
      <c r="C2215" t="s">
        <v>2153</v>
      </c>
    </row>
    <row r="2216" spans="1:3" x14ac:dyDescent="0.25">
      <c r="A2216" t="str">
        <f>"0611832580025"</f>
        <v>0611832580025</v>
      </c>
      <c r="B2216" t="str">
        <f>"MQ3214"</f>
        <v>MQ3214</v>
      </c>
      <c r="C2216" t="s">
        <v>2155</v>
      </c>
    </row>
    <row r="2217" spans="1:3" x14ac:dyDescent="0.25">
      <c r="A2217" t="str">
        <f>"0611861091100"</f>
        <v>0611861091100</v>
      </c>
      <c r="B2217" t="str">
        <f>"CN5025"</f>
        <v>CN5025</v>
      </c>
      <c r="C2217" t="s">
        <v>2156</v>
      </c>
    </row>
    <row r="2218" spans="1:3" x14ac:dyDescent="0.25">
      <c r="A2218" t="str">
        <f>"0611832581025"</f>
        <v>0611832581025</v>
      </c>
      <c r="B2218" t="str">
        <f>"MC1094"</f>
        <v>MC1094</v>
      </c>
      <c r="C2218" t="s">
        <v>2157</v>
      </c>
    </row>
    <row r="2219" spans="1:3" x14ac:dyDescent="0.25">
      <c r="A2219" t="str">
        <f>"0611884083025"</f>
        <v>0611884083025</v>
      </c>
      <c r="B2219" t="str">
        <f>"MQ0822"</f>
        <v>MQ0822</v>
      </c>
      <c r="C2219" t="s">
        <v>2158</v>
      </c>
    </row>
    <row r="2220" spans="1:3" x14ac:dyDescent="0.25">
      <c r="A2220" t="str">
        <f>"0611861095100"</f>
        <v>0611861095100</v>
      </c>
      <c r="B2220" t="str">
        <f>"CN2345"</f>
        <v>CN2345</v>
      </c>
      <c r="C2220" t="s">
        <v>2159</v>
      </c>
    </row>
    <row r="2221" spans="1:3" x14ac:dyDescent="0.25">
      <c r="A2221" t="str">
        <f>"0611832583025"</f>
        <v>0611832583025</v>
      </c>
      <c r="B2221" t="str">
        <f>"MQ0548"</f>
        <v>MQ0548</v>
      </c>
      <c r="C2221" t="s">
        <v>2160</v>
      </c>
    </row>
    <row r="2222" spans="1:3" x14ac:dyDescent="0.25">
      <c r="A2222" t="str">
        <f>"0611832584025"</f>
        <v>0611832584025</v>
      </c>
      <c r="B2222" t="str">
        <f>"MQ6007"</f>
        <v>MQ6007</v>
      </c>
      <c r="C2222" t="s">
        <v>2161</v>
      </c>
    </row>
    <row r="2223" spans="1:3" x14ac:dyDescent="0.25">
      <c r="A2223" t="str">
        <f>"0611832585025"</f>
        <v>0611832585025</v>
      </c>
      <c r="B2223" t="str">
        <f>"MQ0414"</f>
        <v>MQ0414</v>
      </c>
      <c r="C2223" t="s">
        <v>2162</v>
      </c>
    </row>
    <row r="2224" spans="1:3" x14ac:dyDescent="0.25">
      <c r="A2224" t="str">
        <f>"0611832586025"</f>
        <v>0611832586025</v>
      </c>
      <c r="B2224" t="str">
        <f>"MQ6008"</f>
        <v>MQ6008</v>
      </c>
      <c r="C2224" t="s">
        <v>2163</v>
      </c>
    </row>
    <row r="2225" spans="1:3" x14ac:dyDescent="0.25">
      <c r="A2225" t="str">
        <f>"0611832587025"</f>
        <v>0611832587025</v>
      </c>
      <c r="B2225" t="str">
        <f>"MC3885"</f>
        <v>MC3885</v>
      </c>
      <c r="C2225" t="s">
        <v>2164</v>
      </c>
    </row>
    <row r="2226" spans="1:3" x14ac:dyDescent="0.25">
      <c r="A2226" t="str">
        <f>"0611832588100"</f>
        <v>0611832588100</v>
      </c>
      <c r="B2226" t="str">
        <f>"LH1746"</f>
        <v>LH1746</v>
      </c>
      <c r="C2226" t="s">
        <v>2165</v>
      </c>
    </row>
    <row r="2227" spans="1:3" x14ac:dyDescent="0.25">
      <c r="A2227" t="str">
        <f>"0611832589025"</f>
        <v>0611832589025</v>
      </c>
      <c r="B2227" t="str">
        <f>"MC0167"</f>
        <v>MC0167</v>
      </c>
      <c r="C2227" t="s">
        <v>2166</v>
      </c>
    </row>
    <row r="2228" spans="1:3" x14ac:dyDescent="0.25">
      <c r="A2228" t="str">
        <f>"0611831809100"</f>
        <v>0611831809100</v>
      </c>
      <c r="B2228" t="str">
        <f>"LL1709"</f>
        <v>LL1709</v>
      </c>
      <c r="C2228" t="s">
        <v>2167</v>
      </c>
    </row>
    <row r="2229" spans="1:3" x14ac:dyDescent="0.25">
      <c r="A2229" t="str">
        <f>"0611831826100"</f>
        <v>0611831826100</v>
      </c>
      <c r="B2229" t="str">
        <f>"LL1004"</f>
        <v>LL1004</v>
      </c>
      <c r="C2229" t="s">
        <v>2168</v>
      </c>
    </row>
    <row r="2230" spans="1:3" x14ac:dyDescent="0.25">
      <c r="A2230" t="str">
        <f>"0611831830100"</f>
        <v>0611831830100</v>
      </c>
      <c r="B2230" t="str">
        <f>"LL1133"</f>
        <v>LL1133</v>
      </c>
      <c r="C2230" t="s">
        <v>2169</v>
      </c>
    </row>
    <row r="2231" spans="1:3" x14ac:dyDescent="0.25">
      <c r="A2231" t="str">
        <f>"0611831858100"</f>
        <v>0611831858100</v>
      </c>
      <c r="B2231" t="str">
        <f>"LL1108"</f>
        <v>LL1108</v>
      </c>
      <c r="C2231" t="s">
        <v>2170</v>
      </c>
    </row>
    <row r="2232" spans="1:3" x14ac:dyDescent="0.25">
      <c r="A2232" t="str">
        <f>"0611831867100"</f>
        <v>0611831867100</v>
      </c>
      <c r="B2232" t="str">
        <f>"LL0155"</f>
        <v>LL0155</v>
      </c>
      <c r="C2232" t="s">
        <v>2171</v>
      </c>
    </row>
    <row r="2233" spans="1:3" x14ac:dyDescent="0.25">
      <c r="A2233" t="str">
        <f>"0611831828100"</f>
        <v>0611831828100</v>
      </c>
      <c r="B2233" t="str">
        <f>"LL1000"</f>
        <v>LL1000</v>
      </c>
      <c r="C2233" t="s">
        <v>2172</v>
      </c>
    </row>
    <row r="2234" spans="1:3" x14ac:dyDescent="0.25">
      <c r="A2234" t="str">
        <f>"0611831829200"</f>
        <v>0611831829200</v>
      </c>
      <c r="B2234" t="str">
        <f>"KY1000"</f>
        <v>KY1000</v>
      </c>
      <c r="C2234" t="s">
        <v>2173</v>
      </c>
    </row>
    <row r="2235" spans="1:3" x14ac:dyDescent="0.25">
      <c r="A2235" t="str">
        <f>"0611831880100"</f>
        <v>0611831880100</v>
      </c>
      <c r="B2235" t="str">
        <f>"LL8047"</f>
        <v>LL8047</v>
      </c>
      <c r="C2235" t="s">
        <v>2174</v>
      </c>
    </row>
    <row r="2236" spans="1:3" x14ac:dyDescent="0.25">
      <c r="A2236" t="str">
        <f>"0611831917100"</f>
        <v>0611831917100</v>
      </c>
      <c r="B2236" t="str">
        <f>"LL0116"</f>
        <v>LL0116</v>
      </c>
      <c r="C2236" t="s">
        <v>2175</v>
      </c>
    </row>
    <row r="2237" spans="1:3" x14ac:dyDescent="0.25">
      <c r="A2237" t="str">
        <f>"0611831957100"</f>
        <v>0611831957100</v>
      </c>
      <c r="B2237" t="str">
        <f>"LL1090"</f>
        <v>LL1090</v>
      </c>
      <c r="C2237" t="s">
        <v>2176</v>
      </c>
    </row>
    <row r="2238" spans="1:3" x14ac:dyDescent="0.25">
      <c r="A2238" t="str">
        <f>"0611831960100"</f>
        <v>0611831960100</v>
      </c>
      <c r="B2238" t="str">
        <f>"LL1115"</f>
        <v>LL1115</v>
      </c>
      <c r="C2238" t="s">
        <v>2177</v>
      </c>
    </row>
    <row r="2239" spans="1:3" x14ac:dyDescent="0.25">
      <c r="A2239" t="str">
        <f>"0611831962100"</f>
        <v>0611831962100</v>
      </c>
      <c r="B2239" t="str">
        <f>"LL1105"</f>
        <v>LL1105</v>
      </c>
      <c r="C2239" t="s">
        <v>2178</v>
      </c>
    </row>
    <row r="2240" spans="1:3" x14ac:dyDescent="0.25">
      <c r="A2240" t="str">
        <f>"0611831967100"</f>
        <v>0611831967100</v>
      </c>
      <c r="B2240" t="str">
        <f>"LL0020"</f>
        <v>LL0020</v>
      </c>
      <c r="C2240" t="s">
        <v>2179</v>
      </c>
    </row>
    <row r="2241" spans="1:3" x14ac:dyDescent="0.25">
      <c r="A2241" t="str">
        <f>"0611831979100"</f>
        <v>0611831979100</v>
      </c>
      <c r="B2241" t="str">
        <f>"LL0156"</f>
        <v>LL0156</v>
      </c>
      <c r="C2241" t="s">
        <v>2180</v>
      </c>
    </row>
    <row r="2242" spans="1:3" x14ac:dyDescent="0.25">
      <c r="A2242" t="str">
        <f>"0611830943100"</f>
        <v>0611830943100</v>
      </c>
      <c r="B2242" t="str">
        <f>"LL1250"</f>
        <v>LL1250</v>
      </c>
      <c r="C2242" t="s">
        <v>2181</v>
      </c>
    </row>
    <row r="2243" spans="1:3" x14ac:dyDescent="0.25">
      <c r="A2243" t="str">
        <f>"0611830944100"</f>
        <v>0611830944100</v>
      </c>
      <c r="B2243" t="str">
        <f>"LL1195"</f>
        <v>LL1195</v>
      </c>
      <c r="C2243" t="s">
        <v>2184</v>
      </c>
    </row>
    <row r="2244" spans="1:3" x14ac:dyDescent="0.25">
      <c r="A2244" t="str">
        <f>"0611830945100"</f>
        <v>0611830945100</v>
      </c>
      <c r="B2244" t="str">
        <f>"LL8179"</f>
        <v>LL8179</v>
      </c>
      <c r="C2244" t="s">
        <v>2182</v>
      </c>
    </row>
    <row r="2245" spans="1:3" x14ac:dyDescent="0.25">
      <c r="A2245" t="str">
        <f>"0611830946100"</f>
        <v>0611830946100</v>
      </c>
      <c r="B2245" t="str">
        <f>"LL1210"</f>
        <v>LL1210</v>
      </c>
      <c r="C2245" t="s">
        <v>2183</v>
      </c>
    </row>
    <row r="2246" spans="1:3" x14ac:dyDescent="0.25">
      <c r="A2246" t="str">
        <f>"0611830947100"</f>
        <v>0611830947100</v>
      </c>
      <c r="B2246" t="str">
        <f>"LL1217"</f>
        <v>LL1217</v>
      </c>
      <c r="C2246" t="s">
        <v>2185</v>
      </c>
    </row>
    <row r="2247" spans="1:3" x14ac:dyDescent="0.25">
      <c r="A2247" t="str">
        <f>"0611830948100"</f>
        <v>0611830948100</v>
      </c>
      <c r="B2247" t="str">
        <f>"LL1220"</f>
        <v>LL1220</v>
      </c>
      <c r="C2247" t="s">
        <v>2186</v>
      </c>
    </row>
    <row r="2248" spans="1:3" x14ac:dyDescent="0.25">
      <c r="A2248" t="str">
        <f>"0611830949100"</f>
        <v>0611830949100</v>
      </c>
      <c r="B2248" t="str">
        <f>"LL1240"</f>
        <v>LL1240</v>
      </c>
      <c r="C2248" t="s">
        <v>2187</v>
      </c>
    </row>
    <row r="2249" spans="1:3" x14ac:dyDescent="0.25">
      <c r="A2249" t="str">
        <f>"0611832804100"</f>
        <v>0611832804100</v>
      </c>
      <c r="B2249" t="str">
        <f>"LB1703"</f>
        <v>LB1703</v>
      </c>
      <c r="C2249" t="s">
        <v>2188</v>
      </c>
    </row>
    <row r="2250" spans="1:3" x14ac:dyDescent="0.25">
      <c r="A2250" t="str">
        <f>"0611832806100"</f>
        <v>0611832806100</v>
      </c>
      <c r="B2250" t="str">
        <f>"LK4277"</f>
        <v>LK4277</v>
      </c>
      <c r="C2250" t="s">
        <v>2189</v>
      </c>
    </row>
    <row r="2251" spans="1:3" x14ac:dyDescent="0.25">
      <c r="A2251" t="str">
        <f>"0611832809100"</f>
        <v>0611832809100</v>
      </c>
      <c r="B2251" t="str">
        <f>"LK6201"</f>
        <v>LK6201</v>
      </c>
      <c r="C2251" t="s">
        <v>2190</v>
      </c>
    </row>
    <row r="2252" spans="1:3" x14ac:dyDescent="0.25">
      <c r="A2252" t="str">
        <f>"0611832864100"</f>
        <v>0611832864100</v>
      </c>
      <c r="B2252" t="str">
        <f>"LS0013"</f>
        <v>LS0013</v>
      </c>
      <c r="C2252" t="s">
        <v>2252</v>
      </c>
    </row>
    <row r="2253" spans="1:3" x14ac:dyDescent="0.25">
      <c r="A2253" t="str">
        <f>"0611832810100"</f>
        <v>0611832810100</v>
      </c>
      <c r="B2253" t="str">
        <f>"LK6858"</f>
        <v>LK6858</v>
      </c>
      <c r="C2253" t="s">
        <v>2191</v>
      </c>
    </row>
    <row r="2254" spans="1:3" x14ac:dyDescent="0.25">
      <c r="A2254" t="str">
        <f>"0611832811100"</f>
        <v>0611832811100</v>
      </c>
      <c r="B2254" t="str">
        <f>"LK6859"</f>
        <v>LK6859</v>
      </c>
      <c r="C2254" t="s">
        <v>2192</v>
      </c>
    </row>
    <row r="2255" spans="1:3" x14ac:dyDescent="0.25">
      <c r="A2255" t="str">
        <f>"0611832812100"</f>
        <v>0611832812100</v>
      </c>
      <c r="B2255" t="str">
        <f>"LK6860"</f>
        <v>LK6860</v>
      </c>
      <c r="C2255" t="s">
        <v>2193</v>
      </c>
    </row>
    <row r="2256" spans="1:3" x14ac:dyDescent="0.25">
      <c r="A2256" t="str">
        <f>"0611832813100"</f>
        <v>0611832813100</v>
      </c>
      <c r="B2256" t="str">
        <f>"LK6861"</f>
        <v>LK6861</v>
      </c>
      <c r="C2256" t="s">
        <v>2194</v>
      </c>
    </row>
    <row r="2257" spans="1:3" x14ac:dyDescent="0.25">
      <c r="A2257" t="str">
        <f>"0611832815100"</f>
        <v>0611832815100</v>
      </c>
      <c r="B2257" t="str">
        <f>"LK6999"</f>
        <v>LK6999</v>
      </c>
      <c r="C2257" t="s">
        <v>2195</v>
      </c>
    </row>
    <row r="2258" spans="1:3" x14ac:dyDescent="0.25">
      <c r="A2258" t="str">
        <f>"0611832816100"</f>
        <v>0611832816100</v>
      </c>
      <c r="B2258" t="str">
        <f>"LK6862"</f>
        <v>LK6862</v>
      </c>
      <c r="C2258" t="s">
        <v>2196</v>
      </c>
    </row>
    <row r="2259" spans="1:3" x14ac:dyDescent="0.25">
      <c r="A2259" t="str">
        <f>"0611906702100"</f>
        <v>0611906702100</v>
      </c>
      <c r="B2259" t="str">
        <f>"LK7250"</f>
        <v>LK7250</v>
      </c>
      <c r="C2259" t="s">
        <v>2197</v>
      </c>
    </row>
    <row r="2260" spans="1:3" x14ac:dyDescent="0.25">
      <c r="A2260" t="str">
        <f>"0611832817100"</f>
        <v>0611832817100</v>
      </c>
      <c r="B2260" t="str">
        <f>"LK6374"</f>
        <v>LK6374</v>
      </c>
      <c r="C2260" t="s">
        <v>2198</v>
      </c>
    </row>
    <row r="2261" spans="1:3" x14ac:dyDescent="0.25">
      <c r="A2261" t="str">
        <f>"0611832819100"</f>
        <v>0611832819100</v>
      </c>
      <c r="B2261" t="str">
        <f>"LK6376"</f>
        <v>LK6376</v>
      </c>
      <c r="C2261" t="s">
        <v>2199</v>
      </c>
    </row>
    <row r="2262" spans="1:3" x14ac:dyDescent="0.25">
      <c r="A2262" t="str">
        <f>"0611906703100"</f>
        <v>0611906703100</v>
      </c>
      <c r="B2262" t="str">
        <f>"LK7251"</f>
        <v>LK7251</v>
      </c>
      <c r="C2262" t="s">
        <v>2200</v>
      </c>
    </row>
    <row r="2263" spans="1:3" x14ac:dyDescent="0.25">
      <c r="A2263" t="str">
        <f>"0611832820100"</f>
        <v>0611832820100</v>
      </c>
      <c r="B2263" t="str">
        <f>"LK6377"</f>
        <v>LK6377</v>
      </c>
      <c r="C2263" t="s">
        <v>2201</v>
      </c>
    </row>
    <row r="2264" spans="1:3" x14ac:dyDescent="0.25">
      <c r="A2264" t="str">
        <f>"0611906704100"</f>
        <v>0611906704100</v>
      </c>
      <c r="B2264" t="str">
        <f>"LK7211"</f>
        <v>LK7211</v>
      </c>
      <c r="C2264" t="s">
        <v>2203</v>
      </c>
    </row>
    <row r="2265" spans="1:3" x14ac:dyDescent="0.25">
      <c r="A2265" t="str">
        <f>"0611832821100"</f>
        <v>0611832821100</v>
      </c>
      <c r="B2265" t="str">
        <f>"LB1642"</f>
        <v>LB1642</v>
      </c>
      <c r="C2265" t="s">
        <v>2204</v>
      </c>
    </row>
    <row r="2266" spans="1:3" x14ac:dyDescent="0.25">
      <c r="A2266" t="str">
        <f>"0611832822100"</f>
        <v>0611832822100</v>
      </c>
      <c r="B2266" t="str">
        <f>"LB1648"</f>
        <v>LB1648</v>
      </c>
      <c r="C2266" t="s">
        <v>2205</v>
      </c>
    </row>
    <row r="2267" spans="1:3" x14ac:dyDescent="0.25">
      <c r="A2267" t="str">
        <f>"0611832823100"</f>
        <v>0611832823100</v>
      </c>
      <c r="B2267" t="str">
        <f>"LB1643"</f>
        <v>LB1643</v>
      </c>
      <c r="C2267" t="s">
        <v>2206</v>
      </c>
    </row>
    <row r="2268" spans="1:3" x14ac:dyDescent="0.25">
      <c r="A2268" t="str">
        <f>"0611832824100"</f>
        <v>0611832824100</v>
      </c>
      <c r="B2268" t="str">
        <f>"LB1646"</f>
        <v>LB1646</v>
      </c>
      <c r="C2268" t="s">
        <v>2207</v>
      </c>
    </row>
    <row r="2269" spans="1:3" x14ac:dyDescent="0.25">
      <c r="A2269" t="str">
        <f>"0611832825100"</f>
        <v>0611832825100</v>
      </c>
      <c r="B2269" t="str">
        <f>"LB1659"</f>
        <v>LB1659</v>
      </c>
      <c r="C2269" t="s">
        <v>2208</v>
      </c>
    </row>
    <row r="2270" spans="1:3" x14ac:dyDescent="0.25">
      <c r="A2270" t="str">
        <f>"0611832826100"</f>
        <v>0611832826100</v>
      </c>
      <c r="B2270" t="str">
        <f>"LK5729"</f>
        <v>LK5729</v>
      </c>
      <c r="C2270" t="s">
        <v>2209</v>
      </c>
    </row>
    <row r="2271" spans="1:3" x14ac:dyDescent="0.25">
      <c r="A2271" t="str">
        <f>"0611832827100"</f>
        <v>0611832827100</v>
      </c>
      <c r="B2271" t="str">
        <f>"LB1655"</f>
        <v>LB1655</v>
      </c>
      <c r="C2271" t="s">
        <v>2210</v>
      </c>
    </row>
    <row r="2272" spans="1:3" x14ac:dyDescent="0.25">
      <c r="A2272" t="str">
        <f>"0611832828100"</f>
        <v>0611832828100</v>
      </c>
      <c r="B2272" t="str">
        <f>"LK2992"</f>
        <v>LK2992</v>
      </c>
      <c r="C2272" t="s">
        <v>2211</v>
      </c>
    </row>
    <row r="2273" spans="1:3" x14ac:dyDescent="0.25">
      <c r="A2273" t="str">
        <f>"0611832829100"</f>
        <v>0611832829100</v>
      </c>
      <c r="B2273" t="str">
        <f>"LB1653"</f>
        <v>LB1653</v>
      </c>
      <c r="C2273" t="s">
        <v>2212</v>
      </c>
    </row>
    <row r="2274" spans="1:3" x14ac:dyDescent="0.25">
      <c r="A2274" t="str">
        <f>"0611832830100"</f>
        <v>0611832830100</v>
      </c>
      <c r="B2274" t="str">
        <f>"LB1656"</f>
        <v>LB1656</v>
      </c>
      <c r="C2274" t="s">
        <v>2213</v>
      </c>
    </row>
    <row r="2275" spans="1:3" x14ac:dyDescent="0.25">
      <c r="A2275" t="str">
        <f>"0611832832100"</f>
        <v>0611832832100</v>
      </c>
      <c r="B2275" t="str">
        <f>"LB1658"</f>
        <v>LB1658</v>
      </c>
      <c r="C2275" t="s">
        <v>2214</v>
      </c>
    </row>
    <row r="2276" spans="1:3" x14ac:dyDescent="0.25">
      <c r="A2276" t="str">
        <f>"0611832833100"</f>
        <v>0611832833100</v>
      </c>
      <c r="B2276" t="str">
        <f>"LB1674"</f>
        <v>LB1674</v>
      </c>
      <c r="C2276" t="s">
        <v>2215</v>
      </c>
    </row>
    <row r="2277" spans="1:3" x14ac:dyDescent="0.25">
      <c r="A2277" t="str">
        <f>"0611832834100"</f>
        <v>0611832834100</v>
      </c>
      <c r="B2277" t="str">
        <f>"LK6687"</f>
        <v>LK6687</v>
      </c>
      <c r="C2277" t="s">
        <v>2216</v>
      </c>
    </row>
    <row r="2278" spans="1:3" x14ac:dyDescent="0.25">
      <c r="A2278" t="str">
        <f>"0611832835100"</f>
        <v>0611832835100</v>
      </c>
      <c r="B2278" t="str">
        <f>"LK6688"</f>
        <v>LK6688</v>
      </c>
      <c r="C2278" t="s">
        <v>2217</v>
      </c>
    </row>
    <row r="2279" spans="1:3" x14ac:dyDescent="0.25">
      <c r="A2279" t="str">
        <f>"0611832836100"</f>
        <v>0611832836100</v>
      </c>
      <c r="B2279" t="str">
        <f>"LK6689"</f>
        <v>LK6689</v>
      </c>
      <c r="C2279" t="s">
        <v>2218</v>
      </c>
    </row>
    <row r="2280" spans="1:3" x14ac:dyDescent="0.25">
      <c r="A2280" t="str">
        <f>"0611832837100"</f>
        <v>0611832837100</v>
      </c>
      <c r="B2280" t="str">
        <f>"LK6690"</f>
        <v>LK6690</v>
      </c>
      <c r="C2280" t="s">
        <v>2219</v>
      </c>
    </row>
    <row r="2281" spans="1:3" x14ac:dyDescent="0.25">
      <c r="A2281" t="str">
        <f>"0611832838100"</f>
        <v>0611832838100</v>
      </c>
      <c r="B2281" t="str">
        <f>"LK6691"</f>
        <v>LK6691</v>
      </c>
      <c r="C2281" t="s">
        <v>2220</v>
      </c>
    </row>
    <row r="2282" spans="1:3" x14ac:dyDescent="0.25">
      <c r="A2282" t="str">
        <f>"0611832839100"</f>
        <v>0611832839100</v>
      </c>
      <c r="B2282" t="str">
        <f>"LK6692"</f>
        <v>LK6692</v>
      </c>
      <c r="C2282" t="s">
        <v>2221</v>
      </c>
    </row>
    <row r="2283" spans="1:3" x14ac:dyDescent="0.25">
      <c r="A2283" t="str">
        <f>"0611832840100"</f>
        <v>0611832840100</v>
      </c>
      <c r="B2283" t="str">
        <f>"LK6512"</f>
        <v>LK6512</v>
      </c>
      <c r="C2283" t="s">
        <v>2222</v>
      </c>
    </row>
    <row r="2284" spans="1:3" x14ac:dyDescent="0.25">
      <c r="A2284" t="str">
        <f>"0611832841100"</f>
        <v>0611832841100</v>
      </c>
      <c r="B2284" t="str">
        <f>"LK6042"</f>
        <v>LK6042</v>
      </c>
      <c r="C2284" t="s">
        <v>2223</v>
      </c>
    </row>
    <row r="2285" spans="1:3" x14ac:dyDescent="0.25">
      <c r="A2285" t="str">
        <f>"0611832842100"</f>
        <v>0611832842100</v>
      </c>
      <c r="B2285" t="str">
        <f>"LK5730"</f>
        <v>LK5730</v>
      </c>
      <c r="C2285" t="s">
        <v>2224</v>
      </c>
    </row>
    <row r="2286" spans="1:3" x14ac:dyDescent="0.25">
      <c r="A2286" t="str">
        <f>"0611832843025"</f>
        <v>0611832843025</v>
      </c>
      <c r="B2286" t="str">
        <f>"MC4001"</f>
        <v>MC4001</v>
      </c>
      <c r="C2286" t="s">
        <v>2225</v>
      </c>
    </row>
    <row r="2287" spans="1:3" x14ac:dyDescent="0.25">
      <c r="A2287" t="str">
        <f>"0611832844100"</f>
        <v>0611832844100</v>
      </c>
      <c r="B2287" t="str">
        <f>"LK3304"</f>
        <v>LK3304</v>
      </c>
      <c r="C2287" t="s">
        <v>2226</v>
      </c>
    </row>
    <row r="2288" spans="1:3" x14ac:dyDescent="0.25">
      <c r="A2288" t="str">
        <f>"0611832845100"</f>
        <v>0611832845100</v>
      </c>
      <c r="B2288" t="str">
        <f>"LK6230"</f>
        <v>LK6230</v>
      </c>
      <c r="C2288" t="s">
        <v>2227</v>
      </c>
    </row>
    <row r="2289" spans="1:3" x14ac:dyDescent="0.25">
      <c r="A2289" t="str">
        <f>"0611832846100"</f>
        <v>0611832846100</v>
      </c>
      <c r="B2289" t="str">
        <f>"LK5444"</f>
        <v>LK5444</v>
      </c>
      <c r="C2289" t="s">
        <v>2228</v>
      </c>
    </row>
    <row r="2290" spans="1:3" x14ac:dyDescent="0.25">
      <c r="A2290" t="str">
        <f>"0611832847100"</f>
        <v>0611832847100</v>
      </c>
      <c r="B2290" t="str">
        <f>"LK6379"</f>
        <v>LK6379</v>
      </c>
      <c r="C2290" t="s">
        <v>2229</v>
      </c>
    </row>
    <row r="2291" spans="1:3" x14ac:dyDescent="0.25">
      <c r="A2291" t="str">
        <f>"0611832848100"</f>
        <v>0611832848100</v>
      </c>
      <c r="B2291" t="str">
        <f>"LK5445"</f>
        <v>LK5445</v>
      </c>
      <c r="C2291" t="s">
        <v>2230</v>
      </c>
    </row>
    <row r="2292" spans="1:3" x14ac:dyDescent="0.25">
      <c r="A2292" t="str">
        <f>"0611832849100"</f>
        <v>0611832849100</v>
      </c>
      <c r="B2292" t="str">
        <f>"LK6231"</f>
        <v>LK6231</v>
      </c>
      <c r="C2292" t="s">
        <v>2231</v>
      </c>
    </row>
    <row r="2293" spans="1:3" x14ac:dyDescent="0.25">
      <c r="A2293" t="str">
        <f>"0611832850100"</f>
        <v>0611832850100</v>
      </c>
      <c r="B2293" t="str">
        <f>"LK5446"</f>
        <v>LK5446</v>
      </c>
      <c r="C2293" t="s">
        <v>2232</v>
      </c>
    </row>
    <row r="2294" spans="1:3" x14ac:dyDescent="0.25">
      <c r="A2294" t="str">
        <f>"0611832851100"</f>
        <v>0611832851100</v>
      </c>
      <c r="B2294" t="str">
        <f>"LB1657"</f>
        <v>LB1657</v>
      </c>
      <c r="C2294" t="s">
        <v>2233</v>
      </c>
    </row>
    <row r="2295" spans="1:3" x14ac:dyDescent="0.25">
      <c r="A2295" t="str">
        <f>"0611832852100"</f>
        <v>0611832852100</v>
      </c>
      <c r="B2295" t="str">
        <f>"LB1739"</f>
        <v>LB1739</v>
      </c>
      <c r="C2295" t="s">
        <v>2234</v>
      </c>
    </row>
    <row r="2296" spans="1:3" x14ac:dyDescent="0.25">
      <c r="A2296" t="str">
        <f>"0611856861100"</f>
        <v>0611856861100</v>
      </c>
      <c r="B2296" t="str">
        <f>"LK7079"</f>
        <v>LK7079</v>
      </c>
      <c r="C2296" t="s">
        <v>2235</v>
      </c>
    </row>
    <row r="2297" spans="1:3" x14ac:dyDescent="0.25">
      <c r="A2297" t="str">
        <f>"0611856862100"</f>
        <v>0611856862100</v>
      </c>
      <c r="B2297" t="str">
        <f>"LK7080"</f>
        <v>LK7080</v>
      </c>
      <c r="C2297" t="s">
        <v>2236</v>
      </c>
    </row>
    <row r="2298" spans="1:3" x14ac:dyDescent="0.25">
      <c r="A2298" t="str">
        <f>"0611856863100"</f>
        <v>0611856863100</v>
      </c>
      <c r="B2298" t="str">
        <f>"LK7081"</f>
        <v>LK7081</v>
      </c>
      <c r="C2298" t="s">
        <v>2237</v>
      </c>
    </row>
    <row r="2299" spans="1:3" x14ac:dyDescent="0.25">
      <c r="A2299" t="str">
        <f>"0611856864100"</f>
        <v>0611856864100</v>
      </c>
      <c r="B2299" t="str">
        <f>"LK7062"</f>
        <v>LK7062</v>
      </c>
      <c r="C2299" t="s">
        <v>2238</v>
      </c>
    </row>
    <row r="2300" spans="1:3" x14ac:dyDescent="0.25">
      <c r="A2300" t="str">
        <f>"0611856865100"</f>
        <v>0611856865100</v>
      </c>
      <c r="B2300" t="str">
        <f>"LK7082"</f>
        <v>LK7082</v>
      </c>
      <c r="C2300" t="s">
        <v>2239</v>
      </c>
    </row>
    <row r="2301" spans="1:3" x14ac:dyDescent="0.25">
      <c r="A2301" t="str">
        <f>"0611856866100"</f>
        <v>0611856866100</v>
      </c>
      <c r="B2301" t="str">
        <f>"LK7083"</f>
        <v>LK7083</v>
      </c>
      <c r="C2301" t="s">
        <v>2240</v>
      </c>
    </row>
    <row r="2302" spans="1:3" x14ac:dyDescent="0.25">
      <c r="A2302" t="str">
        <f>"0611832853100"</f>
        <v>0611832853100</v>
      </c>
      <c r="B2302" t="str">
        <f>"LK2771"</f>
        <v>LK2771</v>
      </c>
      <c r="C2302" t="s">
        <v>2241</v>
      </c>
    </row>
    <row r="2303" spans="1:3" x14ac:dyDescent="0.25">
      <c r="A2303" t="str">
        <f>"0611832854100"</f>
        <v>0611832854100</v>
      </c>
      <c r="B2303" t="str">
        <f>"LK3305"</f>
        <v>LK3305</v>
      </c>
      <c r="C2303" t="s">
        <v>2242</v>
      </c>
    </row>
    <row r="2304" spans="1:3" x14ac:dyDescent="0.25">
      <c r="A2304" t="str">
        <f>"0611832855100"</f>
        <v>0611832855100</v>
      </c>
      <c r="B2304" t="str">
        <f>"LK2772"</f>
        <v>LK2772</v>
      </c>
      <c r="C2304" t="s">
        <v>2243</v>
      </c>
    </row>
    <row r="2305" spans="1:3" x14ac:dyDescent="0.25">
      <c r="A2305" t="str">
        <f>"0611832856100"</f>
        <v>0611832856100</v>
      </c>
      <c r="B2305" t="str">
        <f>"LK1205"</f>
        <v>LK1205</v>
      </c>
      <c r="C2305" t="s">
        <v>2244</v>
      </c>
    </row>
    <row r="2306" spans="1:3" x14ac:dyDescent="0.25">
      <c r="A2306" t="str">
        <f>"0611832857100"</f>
        <v>0611832857100</v>
      </c>
      <c r="B2306" t="str">
        <f>"LK1206"</f>
        <v>LK1206</v>
      </c>
      <c r="C2306" t="s">
        <v>2245</v>
      </c>
    </row>
    <row r="2307" spans="1:3" x14ac:dyDescent="0.25">
      <c r="A2307" t="str">
        <f>"0611832858100"</f>
        <v>0611832858100</v>
      </c>
      <c r="B2307" t="str">
        <f>"LB1677"</f>
        <v>LB1677</v>
      </c>
      <c r="C2307" t="s">
        <v>2246</v>
      </c>
    </row>
    <row r="2308" spans="1:3" x14ac:dyDescent="0.25">
      <c r="A2308" t="str">
        <f>"0611832859100"</f>
        <v>0611832859100</v>
      </c>
      <c r="B2308" t="str">
        <f>"LK4448"</f>
        <v>LK4448</v>
      </c>
      <c r="C2308" t="s">
        <v>2247</v>
      </c>
    </row>
    <row r="2309" spans="1:3" x14ac:dyDescent="0.25">
      <c r="A2309" t="str">
        <f>"0611832860100"</f>
        <v>0611832860100</v>
      </c>
      <c r="B2309" t="str">
        <f>"LK4449"</f>
        <v>LK4449</v>
      </c>
      <c r="C2309" t="s">
        <v>2248</v>
      </c>
    </row>
    <row r="2310" spans="1:3" x14ac:dyDescent="0.25">
      <c r="A2310" t="str">
        <f>"0611832861100"</f>
        <v>0611832861100</v>
      </c>
      <c r="B2310" t="str">
        <f>"LK4450"</f>
        <v>LK4450</v>
      </c>
      <c r="C2310" t="s">
        <v>2249</v>
      </c>
    </row>
    <row r="2311" spans="1:3" x14ac:dyDescent="0.25">
      <c r="A2311" t="str">
        <f>"0611832862100"</f>
        <v>0611832862100</v>
      </c>
      <c r="B2311" t="str">
        <f>"LK4451"</f>
        <v>LK4451</v>
      </c>
      <c r="C2311" t="s">
        <v>2250</v>
      </c>
    </row>
    <row r="2312" spans="1:3" x14ac:dyDescent="0.25">
      <c r="A2312" t="str">
        <f>"0611832863100"</f>
        <v>0611832863100</v>
      </c>
      <c r="B2312" t="str">
        <f>"LK4452"</f>
        <v>LK4452</v>
      </c>
      <c r="C2312" t="s">
        <v>2251</v>
      </c>
    </row>
    <row r="2313" spans="1:3" x14ac:dyDescent="0.25">
      <c r="A2313" t="str">
        <f>"0611832865100"</f>
        <v>0611832865100</v>
      </c>
      <c r="B2313" t="str">
        <f>"LK2069"</f>
        <v>LK2069</v>
      </c>
      <c r="C2313" t="s">
        <v>2253</v>
      </c>
    </row>
    <row r="2314" spans="1:3" x14ac:dyDescent="0.25">
      <c r="A2314" t="str">
        <f>"0611832866100"</f>
        <v>0611832866100</v>
      </c>
      <c r="B2314" t="str">
        <f>"LK2070"</f>
        <v>LK2070</v>
      </c>
      <c r="C2314" t="s">
        <v>2254</v>
      </c>
    </row>
    <row r="2315" spans="1:3" x14ac:dyDescent="0.25">
      <c r="A2315" t="str">
        <f>"0611832867100"</f>
        <v>0611832867100</v>
      </c>
      <c r="B2315" t="str">
        <f>"LK2073"</f>
        <v>LK2073</v>
      </c>
      <c r="C2315" t="s">
        <v>2255</v>
      </c>
    </row>
    <row r="2316" spans="1:3" x14ac:dyDescent="0.25">
      <c r="A2316" t="str">
        <f>"0611832868100"</f>
        <v>0611832868100</v>
      </c>
      <c r="B2316" t="str">
        <f>"LK2071"</f>
        <v>LK2071</v>
      </c>
      <c r="C2316" t="s">
        <v>2256</v>
      </c>
    </row>
    <row r="2317" spans="1:3" x14ac:dyDescent="0.25">
      <c r="A2317" t="str">
        <f>"0611832869100"</f>
        <v>0611832869100</v>
      </c>
      <c r="B2317" t="str">
        <f>"LK2074"</f>
        <v>LK2074</v>
      </c>
      <c r="C2317" t="s">
        <v>2257</v>
      </c>
    </row>
    <row r="2318" spans="1:3" x14ac:dyDescent="0.25">
      <c r="A2318" t="str">
        <f>"0611832871100"</f>
        <v>0611832871100</v>
      </c>
      <c r="B2318" t="str">
        <f>"LK6232"</f>
        <v>LK6232</v>
      </c>
      <c r="C2318" t="s">
        <v>2258</v>
      </c>
    </row>
    <row r="2319" spans="1:3" x14ac:dyDescent="0.25">
      <c r="A2319" t="str">
        <f>"0611832873100"</f>
        <v>0611832873100</v>
      </c>
      <c r="B2319" t="str">
        <f>"LK6639"</f>
        <v>LK6639</v>
      </c>
      <c r="C2319" t="s">
        <v>2259</v>
      </c>
    </row>
    <row r="2320" spans="1:3" x14ac:dyDescent="0.25">
      <c r="A2320" t="str">
        <f>"0611832874100"</f>
        <v>0611832874100</v>
      </c>
      <c r="B2320" t="str">
        <f>"LK5731"</f>
        <v>LK5731</v>
      </c>
      <c r="C2320" t="s">
        <v>2260</v>
      </c>
    </row>
    <row r="2321" spans="1:3" x14ac:dyDescent="0.25">
      <c r="A2321" t="str">
        <f>"0611884084100"</f>
        <v>0611884084100</v>
      </c>
      <c r="B2321" t="str">
        <f>"LK7129"</f>
        <v>LK7129</v>
      </c>
      <c r="C2321" t="s">
        <v>2261</v>
      </c>
    </row>
    <row r="2322" spans="1:3" x14ac:dyDescent="0.25">
      <c r="A2322" t="str">
        <f>"0611832875100"</f>
        <v>0611832875100</v>
      </c>
      <c r="B2322" t="str">
        <f>"LB1670"</f>
        <v>LB1670</v>
      </c>
      <c r="C2322" t="s">
        <v>2262</v>
      </c>
    </row>
    <row r="2323" spans="1:3" x14ac:dyDescent="0.25">
      <c r="A2323" t="str">
        <f>"0611832876100"</f>
        <v>0611832876100</v>
      </c>
      <c r="B2323" t="str">
        <f>"LK6962"</f>
        <v>LK6962</v>
      </c>
      <c r="C2323" t="s">
        <v>2263</v>
      </c>
    </row>
    <row r="2324" spans="1:3" x14ac:dyDescent="0.25">
      <c r="A2324" t="str">
        <f>"0611832878100"</f>
        <v>0611832878100</v>
      </c>
      <c r="B2324" t="str">
        <f>"LQ6002"</f>
        <v>LQ6002</v>
      </c>
      <c r="C2324" t="s">
        <v>2264</v>
      </c>
    </row>
    <row r="2325" spans="1:3" x14ac:dyDescent="0.25">
      <c r="A2325" t="str">
        <f>"0611832879100"</f>
        <v>0611832879100</v>
      </c>
      <c r="B2325" t="str">
        <f>"LB1664"</f>
        <v>LB1664</v>
      </c>
      <c r="C2325" t="s">
        <v>2265</v>
      </c>
    </row>
    <row r="2326" spans="1:3" x14ac:dyDescent="0.25">
      <c r="A2326" t="str">
        <f>"0611832880100"</f>
        <v>0611832880100</v>
      </c>
      <c r="B2326" t="str">
        <f>"LB1654"</f>
        <v>LB1654</v>
      </c>
      <c r="C2326" t="s">
        <v>2266</v>
      </c>
    </row>
    <row r="2327" spans="1:3" x14ac:dyDescent="0.25">
      <c r="A2327" t="str">
        <f>"0611832881100"</f>
        <v>0611832881100</v>
      </c>
      <c r="B2327" t="str">
        <f>"LB1666"</f>
        <v>LB1666</v>
      </c>
      <c r="C2327" t="s">
        <v>2267</v>
      </c>
    </row>
    <row r="2328" spans="1:3" x14ac:dyDescent="0.25">
      <c r="A2328" t="str">
        <f>"0611832882100"</f>
        <v>0611832882100</v>
      </c>
      <c r="B2328" t="str">
        <f>"LB1667"</f>
        <v>LB1667</v>
      </c>
      <c r="C2328" t="s">
        <v>2268</v>
      </c>
    </row>
    <row r="2329" spans="1:3" x14ac:dyDescent="0.25">
      <c r="A2329" t="str">
        <f>"0611832883100"</f>
        <v>0611832883100</v>
      </c>
      <c r="B2329" t="str">
        <f>"LB1668"</f>
        <v>LB1668</v>
      </c>
      <c r="C2329" t="s">
        <v>2269</v>
      </c>
    </row>
    <row r="2330" spans="1:3" x14ac:dyDescent="0.25">
      <c r="A2330" t="str">
        <f>"0611832884100"</f>
        <v>0611832884100</v>
      </c>
      <c r="B2330" t="str">
        <f>"LB1671"</f>
        <v>LB1671</v>
      </c>
      <c r="C2330" t="s">
        <v>2270</v>
      </c>
    </row>
    <row r="2331" spans="1:3" x14ac:dyDescent="0.25">
      <c r="A2331" t="str">
        <f>"0611832885100"</f>
        <v>0611832885100</v>
      </c>
      <c r="B2331" t="str">
        <f>"LB1672"</f>
        <v>LB1672</v>
      </c>
      <c r="C2331" t="s">
        <v>2271</v>
      </c>
    </row>
    <row r="2332" spans="1:3" x14ac:dyDescent="0.25">
      <c r="A2332" t="str">
        <f>"0611832886100"</f>
        <v>0611832886100</v>
      </c>
      <c r="B2332" t="str">
        <f>"LB1673"</f>
        <v>LB1673</v>
      </c>
      <c r="C2332" t="s">
        <v>2272</v>
      </c>
    </row>
    <row r="2333" spans="1:3" x14ac:dyDescent="0.25">
      <c r="A2333" t="str">
        <f>"0611832887100"</f>
        <v>0611832887100</v>
      </c>
      <c r="B2333" t="str">
        <f>"LK6202"</f>
        <v>LK6202</v>
      </c>
      <c r="C2333" t="s">
        <v>2273</v>
      </c>
    </row>
    <row r="2334" spans="1:3" x14ac:dyDescent="0.25">
      <c r="A2334" t="str">
        <f>"0611832888100"</f>
        <v>0611832888100</v>
      </c>
      <c r="B2334" t="str">
        <f>"LK5447"</f>
        <v>LK5447</v>
      </c>
      <c r="C2334" t="s">
        <v>2274</v>
      </c>
    </row>
    <row r="2335" spans="1:3" x14ac:dyDescent="0.25">
      <c r="A2335" t="str">
        <f>"0611832889100"</f>
        <v>0611832889100</v>
      </c>
      <c r="B2335" t="str">
        <f>"LK6842"</f>
        <v>LK6842</v>
      </c>
      <c r="C2335" t="s">
        <v>2275</v>
      </c>
    </row>
    <row r="2336" spans="1:3" x14ac:dyDescent="0.25">
      <c r="A2336" t="str">
        <f>"0611832890100"</f>
        <v>0611832890100</v>
      </c>
      <c r="B2336" t="str">
        <f>"LK0669"</f>
        <v>LK0669</v>
      </c>
      <c r="C2336" t="s">
        <v>2276</v>
      </c>
    </row>
    <row r="2337" spans="1:3" x14ac:dyDescent="0.25">
      <c r="A2337" t="str">
        <f>"0611832893100"</f>
        <v>0611832893100</v>
      </c>
      <c r="B2337" t="str">
        <f>"LB1760"</f>
        <v>LB1760</v>
      </c>
      <c r="C2337" t="s">
        <v>2277</v>
      </c>
    </row>
    <row r="2338" spans="1:3" x14ac:dyDescent="0.25">
      <c r="A2338" t="str">
        <f>"0611832894100"</f>
        <v>0611832894100</v>
      </c>
      <c r="B2338" t="str">
        <f>"LB1793"</f>
        <v>LB1793</v>
      </c>
      <c r="C2338" t="s">
        <v>2278</v>
      </c>
    </row>
    <row r="2339" spans="1:3" x14ac:dyDescent="0.25">
      <c r="A2339" t="str">
        <f>"0611832895100"</f>
        <v>0611832895100</v>
      </c>
      <c r="B2339" t="str">
        <f>"LB1651"</f>
        <v>LB1651</v>
      </c>
      <c r="C2339" t="s">
        <v>2279</v>
      </c>
    </row>
    <row r="2340" spans="1:3" x14ac:dyDescent="0.25">
      <c r="A2340" t="str">
        <f>"0611832896100"</f>
        <v>0611832896100</v>
      </c>
      <c r="B2340" t="str">
        <f>"LB1795"</f>
        <v>LB1795</v>
      </c>
      <c r="C2340" t="s">
        <v>2280</v>
      </c>
    </row>
    <row r="2341" spans="1:3" x14ac:dyDescent="0.25">
      <c r="A2341" t="str">
        <f>"0611832897100"</f>
        <v>0611832897100</v>
      </c>
      <c r="B2341" t="str">
        <f>"LK5188"</f>
        <v>LK5188</v>
      </c>
      <c r="C2341" t="s">
        <v>2281</v>
      </c>
    </row>
    <row r="2342" spans="1:3" x14ac:dyDescent="0.25">
      <c r="A2342" t="str">
        <f>"0611832898100"</f>
        <v>0611832898100</v>
      </c>
      <c r="B2342" t="str">
        <f>"LK3307"</f>
        <v>LK3307</v>
      </c>
      <c r="C2342" t="s">
        <v>2282</v>
      </c>
    </row>
    <row r="2343" spans="1:3" x14ac:dyDescent="0.25">
      <c r="A2343" t="str">
        <f>"0611832899100"</f>
        <v>0611832899100</v>
      </c>
      <c r="B2343" t="str">
        <f>"LK4453"</f>
        <v>LK4453</v>
      </c>
      <c r="C2343" t="s">
        <v>2283</v>
      </c>
    </row>
    <row r="2344" spans="1:3" x14ac:dyDescent="0.25">
      <c r="A2344" t="str">
        <f>"0611832900100"</f>
        <v>0611832900100</v>
      </c>
      <c r="B2344" t="str">
        <f>"LK6863"</f>
        <v>LK6863</v>
      </c>
      <c r="C2344" t="s">
        <v>2284</v>
      </c>
    </row>
    <row r="2345" spans="1:3" x14ac:dyDescent="0.25">
      <c r="A2345" t="str">
        <f>"0611832901100"</f>
        <v>0611832901100</v>
      </c>
      <c r="B2345" t="str">
        <f>"LK6864"</f>
        <v>LK6864</v>
      </c>
      <c r="C2345" t="s">
        <v>2285</v>
      </c>
    </row>
    <row r="2346" spans="1:3" x14ac:dyDescent="0.25">
      <c r="A2346" t="str">
        <f>"0611832903100"</f>
        <v>0611832903100</v>
      </c>
      <c r="B2346" t="str">
        <f>"LK6373"</f>
        <v>LK6373</v>
      </c>
      <c r="C2346" t="s">
        <v>2202</v>
      </c>
    </row>
    <row r="2347" spans="1:3" x14ac:dyDescent="0.25">
      <c r="A2347" t="str">
        <f>"0611832904100"</f>
        <v>0611832904100</v>
      </c>
      <c r="B2347" t="str">
        <f>"LK6513"</f>
        <v>LK6513</v>
      </c>
      <c r="C2347" t="s">
        <v>2286</v>
      </c>
    </row>
    <row r="2348" spans="1:3" x14ac:dyDescent="0.25">
      <c r="A2348" t="str">
        <f>"0611906705025"</f>
        <v>0611906705025</v>
      </c>
      <c r="B2348" t="str">
        <f>"MQ7040"</f>
        <v>MQ7040</v>
      </c>
      <c r="C2348" t="s">
        <v>2287</v>
      </c>
    </row>
    <row r="2349" spans="1:3" x14ac:dyDescent="0.25">
      <c r="A2349" t="str">
        <f>"0611906706025"</f>
        <v>0611906706025</v>
      </c>
      <c r="B2349" t="str">
        <f>"MQ7041"</f>
        <v>MQ7041</v>
      </c>
      <c r="C2349" t="s">
        <v>2288</v>
      </c>
    </row>
    <row r="2350" spans="1:3" x14ac:dyDescent="0.25">
      <c r="A2350" t="str">
        <f>"0611832905100"</f>
        <v>0611832905100</v>
      </c>
      <c r="B2350" t="str">
        <f>"LB1836"</f>
        <v>LB1836</v>
      </c>
      <c r="C2350" t="s">
        <v>2289</v>
      </c>
    </row>
    <row r="2351" spans="1:3" x14ac:dyDescent="0.25">
      <c r="A2351" t="str">
        <f>"0611832906100"</f>
        <v>0611832906100</v>
      </c>
      <c r="B2351" t="str">
        <f>"LB1837"</f>
        <v>LB1837</v>
      </c>
      <c r="C2351" t="s">
        <v>2290</v>
      </c>
    </row>
    <row r="2352" spans="1:3" x14ac:dyDescent="0.25">
      <c r="A2352" t="str">
        <f>"0611832907100"</f>
        <v>0611832907100</v>
      </c>
      <c r="B2352" t="str">
        <f>"LH1838"</f>
        <v>LH1838</v>
      </c>
      <c r="C2352" t="s">
        <v>2291</v>
      </c>
    </row>
    <row r="2353" spans="1:3" x14ac:dyDescent="0.25">
      <c r="A2353" t="str">
        <f>"0611832908025"</f>
        <v>0611832908025</v>
      </c>
      <c r="B2353" t="str">
        <f>"MC0170"</f>
        <v>MC0170</v>
      </c>
      <c r="C2353" t="s">
        <v>2292</v>
      </c>
    </row>
    <row r="2354" spans="1:3" x14ac:dyDescent="0.25">
      <c r="A2354" t="str">
        <f>"0611832909100"</f>
        <v>0611832909100</v>
      </c>
      <c r="B2354" t="str">
        <f>"LQ3835"</f>
        <v>LQ3835</v>
      </c>
      <c r="C2354" t="s">
        <v>2293</v>
      </c>
    </row>
    <row r="2355" spans="1:3" x14ac:dyDescent="0.25">
      <c r="A2355" t="str">
        <f>"0611861097050"</f>
        <v>0611861097050</v>
      </c>
      <c r="B2355" t="str">
        <f>"CR4939"</f>
        <v>CR4939</v>
      </c>
      <c r="C2355" t="s">
        <v>2294</v>
      </c>
    </row>
    <row r="2356" spans="1:3" x14ac:dyDescent="0.25">
      <c r="A2356" t="str">
        <f>"0611832910025"</f>
        <v>0611832910025</v>
      </c>
      <c r="B2356" t="str">
        <f>"MC0168"</f>
        <v>MC0168</v>
      </c>
      <c r="C2356" t="s">
        <v>2295</v>
      </c>
    </row>
    <row r="2357" spans="1:3" x14ac:dyDescent="0.25">
      <c r="A2357" t="str">
        <f>"0611884085100"</f>
        <v>0611884085100</v>
      </c>
      <c r="B2357" t="str">
        <f>"LQ3914"</f>
        <v>LQ3914</v>
      </c>
      <c r="C2357" t="s">
        <v>2296</v>
      </c>
    </row>
    <row r="2358" spans="1:3" x14ac:dyDescent="0.25">
      <c r="A2358" t="str">
        <f>"0611884086025"</f>
        <v>0611884086025</v>
      </c>
      <c r="B2358" t="str">
        <f>"MQ0823"</f>
        <v>MQ0823</v>
      </c>
      <c r="C2358" t="s">
        <v>2297</v>
      </c>
    </row>
    <row r="2359" spans="1:3" x14ac:dyDescent="0.25">
      <c r="A2359" t="str">
        <f>"0611832911100"</f>
        <v>0611832911100</v>
      </c>
      <c r="B2359" t="str">
        <f>"LH8837"</f>
        <v>LH8837</v>
      </c>
      <c r="C2359" t="s">
        <v>2298</v>
      </c>
    </row>
    <row r="2360" spans="1:3" x14ac:dyDescent="0.25">
      <c r="A2360" t="str">
        <f>"0611832912100"</f>
        <v>0611832912100</v>
      </c>
      <c r="B2360" t="str">
        <f>"LK2533"</f>
        <v>LK2533</v>
      </c>
      <c r="C2360" t="s">
        <v>2299</v>
      </c>
    </row>
    <row r="2361" spans="1:3" x14ac:dyDescent="0.25">
      <c r="A2361" t="str">
        <f>"0611832913025"</f>
        <v>0611832913025</v>
      </c>
      <c r="B2361" t="str">
        <f>"MC4152"</f>
        <v>MC4152</v>
      </c>
      <c r="C2361" t="s">
        <v>2300</v>
      </c>
    </row>
    <row r="2362" spans="1:3" x14ac:dyDescent="0.25">
      <c r="A2362" t="str">
        <f>"0611832914025"</f>
        <v>0611832914025</v>
      </c>
      <c r="B2362" t="str">
        <f>"MC0171"</f>
        <v>MC0171</v>
      </c>
      <c r="C2362" t="s">
        <v>2301</v>
      </c>
    </row>
    <row r="2363" spans="1:3" x14ac:dyDescent="0.25">
      <c r="A2363" t="str">
        <f>"0611832915025"</f>
        <v>0611832915025</v>
      </c>
      <c r="B2363" t="str">
        <f>"MC4266"</f>
        <v>MC4266</v>
      </c>
      <c r="C2363" t="s">
        <v>2302</v>
      </c>
    </row>
    <row r="2364" spans="1:3" x14ac:dyDescent="0.25">
      <c r="A2364" t="str">
        <f>"0611832916025"</f>
        <v>0611832916025</v>
      </c>
      <c r="B2364" t="str">
        <f>"MC1827"</f>
        <v>MC1827</v>
      </c>
      <c r="C2364" t="s">
        <v>2303</v>
      </c>
    </row>
    <row r="2365" spans="1:3" x14ac:dyDescent="0.25">
      <c r="A2365" t="str">
        <f>"0611832917100"</f>
        <v>0611832917100</v>
      </c>
      <c r="B2365" t="str">
        <f>"LH1800"</f>
        <v>LH1800</v>
      </c>
      <c r="C2365" t="s">
        <v>2304</v>
      </c>
    </row>
    <row r="2366" spans="1:3" x14ac:dyDescent="0.25">
      <c r="A2366" t="str">
        <f>"0611832918025"</f>
        <v>0611832918025</v>
      </c>
      <c r="B2366" t="str">
        <f>"MC0173"</f>
        <v>MC0173</v>
      </c>
      <c r="C2366" t="s">
        <v>2305</v>
      </c>
    </row>
    <row r="2367" spans="1:3" x14ac:dyDescent="0.25">
      <c r="A2367" t="str">
        <f>"0611861098100"</f>
        <v>0611861098100</v>
      </c>
      <c r="B2367" t="str">
        <f>"CN5027"</f>
        <v>CN5027</v>
      </c>
      <c r="C2367" t="s">
        <v>2306</v>
      </c>
    </row>
    <row r="2368" spans="1:3" x14ac:dyDescent="0.25">
      <c r="A2368" t="str">
        <f>"0611832919025"</f>
        <v>0611832919025</v>
      </c>
      <c r="B2368" t="str">
        <f>"MC0174"</f>
        <v>MC0174</v>
      </c>
      <c r="C2368" t="s">
        <v>2307</v>
      </c>
    </row>
    <row r="2369" spans="1:3" x14ac:dyDescent="0.25">
      <c r="A2369" t="str">
        <f>"0611861099050"</f>
        <v>0611861099050</v>
      </c>
      <c r="B2369" t="str">
        <f>"CE0972"</f>
        <v>CE0972</v>
      </c>
      <c r="C2369" t="s">
        <v>2308</v>
      </c>
    </row>
    <row r="2370" spans="1:3" x14ac:dyDescent="0.25">
      <c r="A2370" t="str">
        <f>"0611832920100"</f>
        <v>0611832920100</v>
      </c>
      <c r="B2370" t="str">
        <f>"LF0043"</f>
        <v>LF0043</v>
      </c>
      <c r="C2370" t="s">
        <v>2309</v>
      </c>
    </row>
    <row r="2371" spans="1:3" x14ac:dyDescent="0.25">
      <c r="A2371" t="str">
        <f>"0611832921100"</f>
        <v>0611832921100</v>
      </c>
      <c r="B2371" t="str">
        <f>"LF1200"</f>
        <v>LF1200</v>
      </c>
      <c r="C2371" t="s">
        <v>2310</v>
      </c>
    </row>
    <row r="2372" spans="1:3" x14ac:dyDescent="0.25">
      <c r="A2372" t="str">
        <f>"0611884087025"</f>
        <v>0611884087025</v>
      </c>
      <c r="B2372" t="str">
        <f>"MC2127"</f>
        <v>MC2127</v>
      </c>
      <c r="C2372" t="s">
        <v>2311</v>
      </c>
    </row>
    <row r="2373" spans="1:3" x14ac:dyDescent="0.25">
      <c r="A2373" t="str">
        <f>"0611861101050"</f>
        <v>0611861101050</v>
      </c>
      <c r="B2373" t="str">
        <f>"CR4796"</f>
        <v>CR4796</v>
      </c>
      <c r="C2373" t="s">
        <v>2312</v>
      </c>
    </row>
    <row r="2374" spans="1:3" x14ac:dyDescent="0.25">
      <c r="A2374" t="str">
        <f>"0611832922100"</f>
        <v>0611832922100</v>
      </c>
      <c r="B2374" t="str">
        <f>"LC5460"</f>
        <v>LC5460</v>
      </c>
      <c r="C2374" t="s">
        <v>2313</v>
      </c>
    </row>
    <row r="2375" spans="1:3" x14ac:dyDescent="0.25">
      <c r="A2375" t="str">
        <f>"0611832923100"</f>
        <v>0611832923100</v>
      </c>
      <c r="B2375" t="str">
        <f>"LC5461"</f>
        <v>LC5461</v>
      </c>
      <c r="C2375" t="s">
        <v>2314</v>
      </c>
    </row>
    <row r="2376" spans="1:3" x14ac:dyDescent="0.25">
      <c r="A2376" t="str">
        <f>"0611836713025"</f>
        <v>0611836713025</v>
      </c>
      <c r="B2376" t="str">
        <f>"MC0781"</f>
        <v>MC0781</v>
      </c>
      <c r="C2376" t="s">
        <v>2315</v>
      </c>
    </row>
    <row r="2377" spans="1:3" x14ac:dyDescent="0.25">
      <c r="A2377" t="str">
        <f>"0611832924100"</f>
        <v>0611832924100</v>
      </c>
      <c r="B2377" t="str">
        <f>"LC5462"</f>
        <v>LC5462</v>
      </c>
      <c r="C2377" t="s">
        <v>2316</v>
      </c>
    </row>
    <row r="2378" spans="1:3" x14ac:dyDescent="0.25">
      <c r="A2378" t="str">
        <f>"0611832925025"</f>
        <v>0611832925025</v>
      </c>
      <c r="B2378" t="str">
        <f>"MC1542"</f>
        <v>MC1542</v>
      </c>
      <c r="C2378" t="s">
        <v>2317</v>
      </c>
    </row>
    <row r="2379" spans="1:3" x14ac:dyDescent="0.25">
      <c r="A2379" t="str">
        <f>"0611832926025"</f>
        <v>0611832926025</v>
      </c>
      <c r="B2379" t="str">
        <f>"MC1523"</f>
        <v>MC1523</v>
      </c>
      <c r="C2379" t="s">
        <v>2318</v>
      </c>
    </row>
    <row r="2380" spans="1:3" x14ac:dyDescent="0.25">
      <c r="A2380" t="str">
        <f>"0611832927025"</f>
        <v>0611832927025</v>
      </c>
      <c r="B2380" t="str">
        <f>"MC3004"</f>
        <v>MC3004</v>
      </c>
      <c r="C2380" t="s">
        <v>2319</v>
      </c>
    </row>
    <row r="2381" spans="1:3" x14ac:dyDescent="0.25">
      <c r="A2381" t="str">
        <f>"0611861102050"</f>
        <v>0611861102050</v>
      </c>
      <c r="B2381" t="str">
        <f>"CR4212"</f>
        <v>CR4212</v>
      </c>
      <c r="C2381" t="s">
        <v>2320</v>
      </c>
    </row>
    <row r="2382" spans="1:3" x14ac:dyDescent="0.25">
      <c r="A2382" t="str">
        <f>"0611832933100"</f>
        <v>0611832933100</v>
      </c>
      <c r="B2382" t="str">
        <f>"LF0005"</f>
        <v>LF0005</v>
      </c>
      <c r="C2382" t="s">
        <v>2321</v>
      </c>
    </row>
    <row r="2383" spans="1:3" x14ac:dyDescent="0.25">
      <c r="A2383" t="str">
        <f>"0611832929100"</f>
        <v>0611832929100</v>
      </c>
      <c r="B2383" t="str">
        <f>"LF1239"</f>
        <v>LF1239</v>
      </c>
      <c r="C2383" t="s">
        <v>2322</v>
      </c>
    </row>
    <row r="2384" spans="1:3" x14ac:dyDescent="0.25">
      <c r="A2384" t="str">
        <f>"0611832930100"</f>
        <v>0611832930100</v>
      </c>
      <c r="B2384" t="str">
        <f>"MB1240"</f>
        <v>MB1240</v>
      </c>
      <c r="C2384" t="s">
        <v>2323</v>
      </c>
    </row>
    <row r="2385" spans="1:3" x14ac:dyDescent="0.25">
      <c r="A2385" t="str">
        <f>"0611832931100"</f>
        <v>0611832931100</v>
      </c>
      <c r="B2385" t="str">
        <f>"MB1243"</f>
        <v>MB1243</v>
      </c>
      <c r="C2385" t="s">
        <v>2324</v>
      </c>
    </row>
    <row r="2386" spans="1:3" x14ac:dyDescent="0.25">
      <c r="A2386" t="str">
        <f>"0611832932100"</f>
        <v>0611832932100</v>
      </c>
      <c r="B2386" t="str">
        <f>"LF1243"</f>
        <v>LF1243</v>
      </c>
      <c r="C2386" t="s">
        <v>2325</v>
      </c>
    </row>
    <row r="2387" spans="1:3" x14ac:dyDescent="0.25">
      <c r="A2387" t="str">
        <f>"0611861103050"</f>
        <v>0611861103050</v>
      </c>
      <c r="B2387" t="str">
        <f>"CR3975"</f>
        <v>CR3975</v>
      </c>
      <c r="C2387" t="s">
        <v>2326</v>
      </c>
    </row>
    <row r="2388" spans="1:3" x14ac:dyDescent="0.25">
      <c r="A2388" t="str">
        <f>"0611861104050"</f>
        <v>0611861104050</v>
      </c>
      <c r="B2388" t="str">
        <f>"CR4528"</f>
        <v>CR4528</v>
      </c>
      <c r="C2388" t="s">
        <v>2327</v>
      </c>
    </row>
    <row r="2389" spans="1:3" x14ac:dyDescent="0.25">
      <c r="A2389" t="str">
        <f>"0611832934100"</f>
        <v>0611832934100</v>
      </c>
      <c r="B2389" t="str">
        <f>"LY0014"</f>
        <v>LY0014</v>
      </c>
      <c r="C2389" t="s">
        <v>2328</v>
      </c>
    </row>
    <row r="2390" spans="1:3" x14ac:dyDescent="0.25">
      <c r="A2390" t="str">
        <f>"0611893352050"</f>
        <v>0611893352050</v>
      </c>
      <c r="B2390" t="str">
        <f>"CA0734"</f>
        <v>CA0734</v>
      </c>
      <c r="C2390" t="s">
        <v>2329</v>
      </c>
    </row>
    <row r="2391" spans="1:3" x14ac:dyDescent="0.25">
      <c r="A2391" t="str">
        <f>"0611893353050"</f>
        <v>0611893353050</v>
      </c>
      <c r="B2391" t="str">
        <f>"CA0500"</f>
        <v>CA0500</v>
      </c>
      <c r="C2391" t="s">
        <v>2330</v>
      </c>
    </row>
    <row r="2392" spans="1:3" x14ac:dyDescent="0.25">
      <c r="A2392" t="str">
        <f>"0611832935100"</f>
        <v>0611832935100</v>
      </c>
      <c r="B2392" t="str">
        <f>"LY0022"</f>
        <v>LY0022</v>
      </c>
      <c r="C2392" t="s">
        <v>2331</v>
      </c>
    </row>
    <row r="2393" spans="1:3" x14ac:dyDescent="0.25">
      <c r="A2393" t="str">
        <f>"0611893354050"</f>
        <v>0611893354050</v>
      </c>
      <c r="B2393" t="str">
        <f>"CA0741"</f>
        <v>CA0741</v>
      </c>
      <c r="C2393" t="s">
        <v>2332</v>
      </c>
    </row>
    <row r="2394" spans="1:3" x14ac:dyDescent="0.25">
      <c r="A2394" t="str">
        <f>"0611832936100"</f>
        <v>0611832936100</v>
      </c>
      <c r="B2394" t="str">
        <f>"LY5670"</f>
        <v>LY5670</v>
      </c>
      <c r="C2394" t="s">
        <v>2333</v>
      </c>
    </row>
    <row r="2395" spans="1:3" x14ac:dyDescent="0.25">
      <c r="A2395" t="str">
        <f>"0611893355050"</f>
        <v>0611893355050</v>
      </c>
      <c r="B2395" t="str">
        <f>"CA0501"</f>
        <v>CA0501</v>
      </c>
      <c r="C2395" t="s">
        <v>2334</v>
      </c>
    </row>
    <row r="2396" spans="1:3" x14ac:dyDescent="0.25">
      <c r="A2396" t="str">
        <f>"0611893356050"</f>
        <v>0611893356050</v>
      </c>
      <c r="B2396" t="str">
        <f>"CA0768"</f>
        <v>CA0768</v>
      </c>
      <c r="C2396" t="s">
        <v>2335</v>
      </c>
    </row>
    <row r="2397" spans="1:3" x14ac:dyDescent="0.25">
      <c r="A2397" t="str">
        <f>"0611916446100"</f>
        <v>0611916446100</v>
      </c>
      <c r="B2397" t="str">
        <f>"LY5753"</f>
        <v>LY5753</v>
      </c>
      <c r="C2397" t="s">
        <v>13959</v>
      </c>
    </row>
    <row r="2398" spans="1:3" x14ac:dyDescent="0.25">
      <c r="A2398" t="str">
        <f>"0611916441050"</f>
        <v>0611916441050</v>
      </c>
      <c r="B2398" t="str">
        <f>"CA0773"</f>
        <v>CA0773</v>
      </c>
      <c r="C2398" t="s">
        <v>13801</v>
      </c>
    </row>
    <row r="2399" spans="1:3" x14ac:dyDescent="0.25">
      <c r="A2399" t="str">
        <f>"0611861105050"</f>
        <v>0611861105050</v>
      </c>
      <c r="B2399" t="str">
        <f>"CR4529"</f>
        <v>CR4529</v>
      </c>
      <c r="C2399" t="s">
        <v>2336</v>
      </c>
    </row>
    <row r="2400" spans="1:3" x14ac:dyDescent="0.25">
      <c r="A2400" t="str">
        <f>"0611832938100"</f>
        <v>0611832938100</v>
      </c>
      <c r="B2400" t="str">
        <f>"LY5714"</f>
        <v>LY5714</v>
      </c>
      <c r="C2400" t="s">
        <v>2337</v>
      </c>
    </row>
    <row r="2401" spans="1:3" x14ac:dyDescent="0.25">
      <c r="A2401" t="str">
        <f>"0611893357050"</f>
        <v>0611893357050</v>
      </c>
      <c r="B2401" t="str">
        <f>"CA0503"</f>
        <v>CA0503</v>
      </c>
      <c r="C2401" t="s">
        <v>2338</v>
      </c>
    </row>
    <row r="2402" spans="1:3" x14ac:dyDescent="0.25">
      <c r="A2402" t="str">
        <f>"0611832940100"</f>
        <v>0611832940100</v>
      </c>
      <c r="B2402" t="str">
        <f>"LY5715"</f>
        <v>LY5715</v>
      </c>
      <c r="C2402" t="s">
        <v>2339</v>
      </c>
    </row>
    <row r="2403" spans="1:3" x14ac:dyDescent="0.25">
      <c r="A2403" t="str">
        <f>"0611893358050"</f>
        <v>0611893358050</v>
      </c>
      <c r="B2403" t="str">
        <f>"CA0504"</f>
        <v>CA0504</v>
      </c>
      <c r="C2403" t="s">
        <v>2340</v>
      </c>
    </row>
    <row r="2404" spans="1:3" x14ac:dyDescent="0.25">
      <c r="A2404" t="str">
        <f>"0611832941100"</f>
        <v>0611832941100</v>
      </c>
      <c r="B2404" t="str">
        <f>"LY5671"</f>
        <v>LY5671</v>
      </c>
      <c r="C2404" t="s">
        <v>2341</v>
      </c>
    </row>
    <row r="2405" spans="1:3" x14ac:dyDescent="0.25">
      <c r="A2405" t="str">
        <f>"0611893359050"</f>
        <v>0611893359050</v>
      </c>
      <c r="B2405" t="str">
        <f>"CA0505"</f>
        <v>CA0505</v>
      </c>
      <c r="C2405" t="s">
        <v>2342</v>
      </c>
    </row>
    <row r="2406" spans="1:3" x14ac:dyDescent="0.25">
      <c r="A2406" t="str">
        <f>"0611856867100"</f>
        <v>0611856867100</v>
      </c>
      <c r="B2406" t="str">
        <f>"LY5730"</f>
        <v>LY5730</v>
      </c>
      <c r="C2406" t="s">
        <v>2343</v>
      </c>
    </row>
    <row r="2407" spans="1:3" x14ac:dyDescent="0.25">
      <c r="A2407" t="str">
        <f>"0611893360050"</f>
        <v>0611893360050</v>
      </c>
      <c r="B2407" t="str">
        <f>"CA0725"</f>
        <v>CA0725</v>
      </c>
      <c r="C2407" t="s">
        <v>2344</v>
      </c>
    </row>
    <row r="2408" spans="1:3" x14ac:dyDescent="0.25">
      <c r="A2408" t="str">
        <f>"0611861106050"</f>
        <v>0611861106050</v>
      </c>
      <c r="B2408" t="str">
        <f>"CR4530"</f>
        <v>CR4530</v>
      </c>
      <c r="C2408" t="s">
        <v>2345</v>
      </c>
    </row>
    <row r="2409" spans="1:3" x14ac:dyDescent="0.25">
      <c r="A2409" t="str">
        <f>"0611861108050"</f>
        <v>0611861108050</v>
      </c>
      <c r="B2409" t="str">
        <f>"CR5051"</f>
        <v>CR5051</v>
      </c>
      <c r="C2409" t="s">
        <v>2346</v>
      </c>
    </row>
    <row r="2410" spans="1:3" x14ac:dyDescent="0.25">
      <c r="A2410" t="str">
        <f>"0611861109050"</f>
        <v>0611861109050</v>
      </c>
      <c r="B2410" t="str">
        <f>"CR5052"</f>
        <v>CR5052</v>
      </c>
      <c r="C2410" t="s">
        <v>2347</v>
      </c>
    </row>
    <row r="2411" spans="1:3" x14ac:dyDescent="0.25">
      <c r="A2411" t="str">
        <f>"0611861110050"</f>
        <v>0611861110050</v>
      </c>
      <c r="B2411" t="str">
        <f>"CR5053"</f>
        <v>CR5053</v>
      </c>
      <c r="C2411" t="s">
        <v>2348</v>
      </c>
    </row>
    <row r="2412" spans="1:3" x14ac:dyDescent="0.25">
      <c r="A2412" t="str">
        <f>"0611861111050"</f>
        <v>0611861111050</v>
      </c>
      <c r="B2412" t="str">
        <f>"CR4531"</f>
        <v>CR4531</v>
      </c>
      <c r="C2412" t="s">
        <v>2349</v>
      </c>
    </row>
    <row r="2413" spans="1:3" x14ac:dyDescent="0.25">
      <c r="A2413" t="str">
        <f>"0611884088100"</f>
        <v>0611884088100</v>
      </c>
      <c r="B2413" t="str">
        <f>"LY5739"</f>
        <v>LY5739</v>
      </c>
      <c r="C2413" t="s">
        <v>2350</v>
      </c>
    </row>
    <row r="2414" spans="1:3" x14ac:dyDescent="0.25">
      <c r="A2414" t="str">
        <f>"0611893361050"</f>
        <v>0611893361050</v>
      </c>
      <c r="B2414" t="str">
        <f>"CA0759"</f>
        <v>CA0759</v>
      </c>
      <c r="C2414" t="s">
        <v>2351</v>
      </c>
    </row>
    <row r="2415" spans="1:3" x14ac:dyDescent="0.25">
      <c r="A2415" t="str">
        <f>"0611893362050"</f>
        <v>0611893362050</v>
      </c>
      <c r="B2415" t="str">
        <f>"CR5322"</f>
        <v>CR5322</v>
      </c>
      <c r="C2415" t="s">
        <v>2352</v>
      </c>
    </row>
    <row r="2416" spans="1:3" x14ac:dyDescent="0.25">
      <c r="A2416" t="str">
        <f>"0611832942100"</f>
        <v>0611832942100</v>
      </c>
      <c r="B2416" t="str">
        <f>"LY5681"</f>
        <v>LY5681</v>
      </c>
      <c r="C2416" t="s">
        <v>2353</v>
      </c>
    </row>
    <row r="2417" spans="1:3" x14ac:dyDescent="0.25">
      <c r="A2417" t="str">
        <f>"0611893363050"</f>
        <v>0611893363050</v>
      </c>
      <c r="B2417" t="str">
        <f>"CA0510"</f>
        <v>CA0510</v>
      </c>
      <c r="C2417" t="s">
        <v>2354</v>
      </c>
    </row>
    <row r="2418" spans="1:3" x14ac:dyDescent="0.25">
      <c r="A2418" t="str">
        <f>"0611832944100"</f>
        <v>0611832944100</v>
      </c>
      <c r="B2418" t="str">
        <f>"LY5622"</f>
        <v>LY5622</v>
      </c>
      <c r="C2418" t="s">
        <v>2355</v>
      </c>
    </row>
    <row r="2419" spans="1:3" x14ac:dyDescent="0.25">
      <c r="A2419" t="str">
        <f>"0611893364050"</f>
        <v>0611893364050</v>
      </c>
      <c r="B2419" t="str">
        <f>"CA0511"</f>
        <v>CA0511</v>
      </c>
      <c r="C2419" t="s">
        <v>2356</v>
      </c>
    </row>
    <row r="2420" spans="1:3" x14ac:dyDescent="0.25">
      <c r="A2420" t="str">
        <f>"0611832945100"</f>
        <v>0611832945100</v>
      </c>
      <c r="B2420" t="str">
        <f>"LY5709"</f>
        <v>LY5709</v>
      </c>
      <c r="C2420" t="s">
        <v>2357</v>
      </c>
    </row>
    <row r="2421" spans="1:3" x14ac:dyDescent="0.25">
      <c r="A2421" t="str">
        <f>"0611893365050"</f>
        <v>0611893365050</v>
      </c>
      <c r="B2421" t="str">
        <f>"CA0514"</f>
        <v>CA0514</v>
      </c>
      <c r="C2421" t="s">
        <v>2358</v>
      </c>
    </row>
    <row r="2422" spans="1:3" x14ac:dyDescent="0.25">
      <c r="A2422" t="str">
        <f>"0611832946100"</f>
        <v>0611832946100</v>
      </c>
      <c r="B2422" t="str">
        <f>"LY0001"</f>
        <v>LY0001</v>
      </c>
      <c r="C2422" t="s">
        <v>2359</v>
      </c>
    </row>
    <row r="2423" spans="1:3" x14ac:dyDescent="0.25">
      <c r="A2423" t="str">
        <f>"0611893366050"</f>
        <v>0611893366050</v>
      </c>
      <c r="B2423" t="str">
        <f>"CA0513"</f>
        <v>CA0513</v>
      </c>
      <c r="C2423" t="s">
        <v>2360</v>
      </c>
    </row>
    <row r="2424" spans="1:3" x14ac:dyDescent="0.25">
      <c r="A2424" t="str">
        <f>"0611832947100"</f>
        <v>0611832947100</v>
      </c>
      <c r="B2424" t="str">
        <f>"LY0015"</f>
        <v>LY0015</v>
      </c>
      <c r="C2424" t="s">
        <v>2361</v>
      </c>
    </row>
    <row r="2425" spans="1:3" x14ac:dyDescent="0.25">
      <c r="A2425" t="str">
        <f>"0611893367050"</f>
        <v>0611893367050</v>
      </c>
      <c r="B2425" t="str">
        <f>"CA0735"</f>
        <v>CA0735</v>
      </c>
      <c r="C2425" t="s">
        <v>2362</v>
      </c>
    </row>
    <row r="2426" spans="1:3" x14ac:dyDescent="0.25">
      <c r="A2426" t="str">
        <f>"0611832948100"</f>
        <v>0611832948100</v>
      </c>
      <c r="B2426" t="str">
        <f>"LY5716"</f>
        <v>LY5716</v>
      </c>
      <c r="C2426" t="s">
        <v>2363</v>
      </c>
    </row>
    <row r="2427" spans="1:3" x14ac:dyDescent="0.25">
      <c r="A2427" t="str">
        <f>"0611893368050"</f>
        <v>0611893368050</v>
      </c>
      <c r="B2427" t="str">
        <f>"CA0512"</f>
        <v>CA0512</v>
      </c>
      <c r="C2427" t="s">
        <v>2364</v>
      </c>
    </row>
    <row r="2428" spans="1:3" x14ac:dyDescent="0.25">
      <c r="A2428" t="str">
        <f>"0611861112050"</f>
        <v>0611861112050</v>
      </c>
      <c r="B2428" t="str">
        <f>"CR4532"</f>
        <v>CR4532</v>
      </c>
      <c r="C2428" t="s">
        <v>2365</v>
      </c>
    </row>
    <row r="2429" spans="1:3" x14ac:dyDescent="0.25">
      <c r="A2429" t="str">
        <f>"0611861113050"</f>
        <v>0611861113050</v>
      </c>
      <c r="B2429" t="str">
        <f>"CR4533"</f>
        <v>CR4533</v>
      </c>
      <c r="C2429" t="s">
        <v>2366</v>
      </c>
    </row>
    <row r="2430" spans="1:3" x14ac:dyDescent="0.25">
      <c r="A2430" t="str">
        <f>"0611893369050"</f>
        <v>0611893369050</v>
      </c>
      <c r="B2430" t="str">
        <f>"CA0515"</f>
        <v>CA0515</v>
      </c>
      <c r="C2430" t="s">
        <v>2367</v>
      </c>
    </row>
    <row r="2431" spans="1:3" x14ac:dyDescent="0.25">
      <c r="A2431" t="str">
        <f>"0611893370050"</f>
        <v>0611893370050</v>
      </c>
      <c r="B2431" t="str">
        <f>"CA0520"</f>
        <v>CA0520</v>
      </c>
      <c r="C2431" t="s">
        <v>2368</v>
      </c>
    </row>
    <row r="2432" spans="1:3" x14ac:dyDescent="0.25">
      <c r="A2432" t="str">
        <f>"0611893371050"</f>
        <v>0611893371050</v>
      </c>
      <c r="B2432" t="str">
        <f>"CA0521"</f>
        <v>CA0521</v>
      </c>
      <c r="C2432" t="s">
        <v>2369</v>
      </c>
    </row>
    <row r="2433" spans="1:3" x14ac:dyDescent="0.25">
      <c r="A2433" t="str">
        <f>"0611893372050"</f>
        <v>0611893372050</v>
      </c>
      <c r="B2433" t="str">
        <f>"CA0519"</f>
        <v>CA0519</v>
      </c>
      <c r="C2433" t="s">
        <v>2370</v>
      </c>
    </row>
    <row r="2434" spans="1:3" x14ac:dyDescent="0.25">
      <c r="A2434" t="str">
        <f>"0611893373050"</f>
        <v>0611893373050</v>
      </c>
      <c r="B2434" t="str">
        <f>"CA0522"</f>
        <v>CA0522</v>
      </c>
      <c r="C2434" t="s">
        <v>2371</v>
      </c>
    </row>
    <row r="2435" spans="1:3" x14ac:dyDescent="0.25">
      <c r="A2435" t="str">
        <f>"0611832949100"</f>
        <v>0611832949100</v>
      </c>
      <c r="B2435" t="str">
        <f>"LY5636"</f>
        <v>LY5636</v>
      </c>
      <c r="C2435" t="s">
        <v>2372</v>
      </c>
    </row>
    <row r="2436" spans="1:3" x14ac:dyDescent="0.25">
      <c r="A2436" t="str">
        <f>"0611893374050"</f>
        <v>0611893374050</v>
      </c>
      <c r="B2436" t="str">
        <f>"CA0523"</f>
        <v>CA0523</v>
      </c>
      <c r="C2436" t="s">
        <v>2373</v>
      </c>
    </row>
    <row r="2437" spans="1:3" x14ac:dyDescent="0.25">
      <c r="A2437" t="str">
        <f>"0611832951100"</f>
        <v>0611832951100</v>
      </c>
      <c r="B2437" t="str">
        <f>"LY5699"</f>
        <v>LY5699</v>
      </c>
      <c r="C2437" t="s">
        <v>2374</v>
      </c>
    </row>
    <row r="2438" spans="1:3" x14ac:dyDescent="0.25">
      <c r="A2438" t="str">
        <f>"0611893375050"</f>
        <v>0611893375050</v>
      </c>
      <c r="B2438" t="str">
        <f>"CA0526"</f>
        <v>CA0526</v>
      </c>
      <c r="C2438" t="s">
        <v>2375</v>
      </c>
    </row>
    <row r="2439" spans="1:3" x14ac:dyDescent="0.25">
      <c r="A2439" t="str">
        <f>"0611832952100"</f>
        <v>0611832952100</v>
      </c>
      <c r="B2439" t="str">
        <f>"LH2013"</f>
        <v>LH2013</v>
      </c>
      <c r="C2439" t="s">
        <v>2376</v>
      </c>
    </row>
    <row r="2440" spans="1:3" x14ac:dyDescent="0.25">
      <c r="A2440" t="str">
        <f>"0611861114100"</f>
        <v>0611861114100</v>
      </c>
      <c r="B2440" t="str">
        <f>"LK6044"</f>
        <v>LK6044</v>
      </c>
      <c r="C2440" t="s">
        <v>2377</v>
      </c>
    </row>
    <row r="2441" spans="1:3" x14ac:dyDescent="0.25">
      <c r="A2441" t="str">
        <f>"0611893376050"</f>
        <v>0611893376050</v>
      </c>
      <c r="B2441" t="str">
        <f>"CA0527"</f>
        <v>CA0527</v>
      </c>
      <c r="C2441" t="s">
        <v>2378</v>
      </c>
    </row>
    <row r="2442" spans="1:3" x14ac:dyDescent="0.25">
      <c r="A2442" t="str">
        <f>"0611861115050"</f>
        <v>0611861115050</v>
      </c>
      <c r="B2442" t="str">
        <f>"CR4881"</f>
        <v>CR4881</v>
      </c>
      <c r="C2442" t="s">
        <v>2379</v>
      </c>
    </row>
    <row r="2443" spans="1:3" x14ac:dyDescent="0.25">
      <c r="A2443" t="str">
        <f>"0611861116050"</f>
        <v>0611861116050</v>
      </c>
      <c r="B2443" t="str">
        <f>"CR4880"</f>
        <v>CR4880</v>
      </c>
      <c r="C2443" t="s">
        <v>2380</v>
      </c>
    </row>
    <row r="2444" spans="1:3" x14ac:dyDescent="0.25">
      <c r="A2444" t="str">
        <f>"0611861117050"</f>
        <v>0611861117050</v>
      </c>
      <c r="B2444" t="str">
        <f>"CR4534"</f>
        <v>CR4534</v>
      </c>
      <c r="C2444" t="s">
        <v>2381</v>
      </c>
    </row>
    <row r="2445" spans="1:3" x14ac:dyDescent="0.25">
      <c r="A2445" t="str">
        <f>"0611861118050"</f>
        <v>0611861118050</v>
      </c>
      <c r="B2445" t="str">
        <f>"CR4535"</f>
        <v>CR4535</v>
      </c>
      <c r="C2445" t="s">
        <v>2382</v>
      </c>
    </row>
    <row r="2446" spans="1:3" x14ac:dyDescent="0.25">
      <c r="A2446" t="str">
        <f>"0611861119050"</f>
        <v>0611861119050</v>
      </c>
      <c r="B2446" t="str">
        <f>"CR4536"</f>
        <v>CR4536</v>
      </c>
      <c r="C2446" t="s">
        <v>2383</v>
      </c>
    </row>
    <row r="2447" spans="1:3" x14ac:dyDescent="0.25">
      <c r="A2447" t="str">
        <f>"0611861120050"</f>
        <v>0611861120050</v>
      </c>
      <c r="B2447" t="str">
        <f>"CR4883"</f>
        <v>CR4883</v>
      </c>
      <c r="C2447" t="s">
        <v>2384</v>
      </c>
    </row>
    <row r="2448" spans="1:3" x14ac:dyDescent="0.25">
      <c r="A2448" t="str">
        <f>"0611893377050"</f>
        <v>0611893377050</v>
      </c>
      <c r="B2448" t="str">
        <f>"CA0532"</f>
        <v>CA0532</v>
      </c>
      <c r="C2448" t="s">
        <v>2385</v>
      </c>
    </row>
    <row r="2449" spans="1:3" x14ac:dyDescent="0.25">
      <c r="A2449" t="str">
        <f>"0611861121050"</f>
        <v>0611861121050</v>
      </c>
      <c r="B2449" t="str">
        <f>"CR4537"</f>
        <v>CR4537</v>
      </c>
      <c r="C2449" t="s">
        <v>2386</v>
      </c>
    </row>
    <row r="2450" spans="1:3" x14ac:dyDescent="0.25">
      <c r="A2450" t="str">
        <f>"0611832955100"</f>
        <v>0611832955100</v>
      </c>
      <c r="B2450" t="str">
        <f>"LY5692"</f>
        <v>LY5692</v>
      </c>
      <c r="C2450" t="s">
        <v>2387</v>
      </c>
    </row>
    <row r="2451" spans="1:3" x14ac:dyDescent="0.25">
      <c r="A2451" t="str">
        <f>"0611893378050"</f>
        <v>0611893378050</v>
      </c>
      <c r="B2451" t="str">
        <f>"CA0536"</f>
        <v>CA0536</v>
      </c>
      <c r="C2451" t="s">
        <v>2388</v>
      </c>
    </row>
    <row r="2452" spans="1:3" x14ac:dyDescent="0.25">
      <c r="A2452" t="str">
        <f>"0611832956100"</f>
        <v>0611832956100</v>
      </c>
      <c r="B2452" t="str">
        <f>"LY5693"</f>
        <v>LY5693</v>
      </c>
      <c r="C2452" t="s">
        <v>2389</v>
      </c>
    </row>
    <row r="2453" spans="1:3" x14ac:dyDescent="0.25">
      <c r="A2453" t="str">
        <f>"0611893379050"</f>
        <v>0611893379050</v>
      </c>
      <c r="B2453" t="str">
        <f>"CA0533"</f>
        <v>CA0533</v>
      </c>
      <c r="C2453" t="s">
        <v>2390</v>
      </c>
    </row>
    <row r="2454" spans="1:3" x14ac:dyDescent="0.25">
      <c r="A2454" t="str">
        <f>"0611861122050"</f>
        <v>0611861122050</v>
      </c>
      <c r="B2454" t="str">
        <f>"CE1064"</f>
        <v>CE1064</v>
      </c>
      <c r="C2454" t="s">
        <v>13802</v>
      </c>
    </row>
    <row r="2455" spans="1:3" x14ac:dyDescent="0.25">
      <c r="A2455" t="str">
        <f>"0611832957100"</f>
        <v>0611832957100</v>
      </c>
      <c r="B2455" t="str">
        <f>"LY5694"</f>
        <v>LY5694</v>
      </c>
      <c r="C2455" t="s">
        <v>2391</v>
      </c>
    </row>
    <row r="2456" spans="1:3" x14ac:dyDescent="0.25">
      <c r="A2456" t="str">
        <f>"0611893380050"</f>
        <v>0611893380050</v>
      </c>
      <c r="B2456" t="str">
        <f>"CA0535"</f>
        <v>CA0535</v>
      </c>
      <c r="C2456" t="s">
        <v>2392</v>
      </c>
    </row>
    <row r="2457" spans="1:3" x14ac:dyDescent="0.25">
      <c r="A2457" t="str">
        <f>"0611832958100"</f>
        <v>0611832958100</v>
      </c>
      <c r="B2457" t="str">
        <f>"LY5695"</f>
        <v>LY5695</v>
      </c>
      <c r="C2457" t="s">
        <v>2393</v>
      </c>
    </row>
    <row r="2458" spans="1:3" x14ac:dyDescent="0.25">
      <c r="A2458" t="str">
        <f>"0611893381050"</f>
        <v>0611893381050</v>
      </c>
      <c r="B2458" t="str">
        <f>"CA0534"</f>
        <v>CA0534</v>
      </c>
      <c r="C2458" t="s">
        <v>2394</v>
      </c>
    </row>
    <row r="2459" spans="1:3" x14ac:dyDescent="0.25">
      <c r="A2459" t="str">
        <f>"0611861123050"</f>
        <v>0611861123050</v>
      </c>
      <c r="B2459" t="str">
        <f>"CR4538"</f>
        <v>CR4538</v>
      </c>
      <c r="C2459" t="s">
        <v>2395</v>
      </c>
    </row>
    <row r="2460" spans="1:3" x14ac:dyDescent="0.25">
      <c r="A2460" t="str">
        <f>"0611861124050"</f>
        <v>0611861124050</v>
      </c>
      <c r="B2460" t="str">
        <f>"CR4539"</f>
        <v>CR4539</v>
      </c>
      <c r="C2460" t="s">
        <v>2396</v>
      </c>
    </row>
    <row r="2461" spans="1:3" x14ac:dyDescent="0.25">
      <c r="A2461" t="str">
        <f>"0611832959100"</f>
        <v>0611832959100</v>
      </c>
      <c r="B2461" t="str">
        <f>"LY5661"</f>
        <v>LY5661</v>
      </c>
      <c r="C2461" t="s">
        <v>2397</v>
      </c>
    </row>
    <row r="2462" spans="1:3" x14ac:dyDescent="0.25">
      <c r="A2462" t="str">
        <f>"0611893382050"</f>
        <v>0611893382050</v>
      </c>
      <c r="B2462" t="str">
        <f>"CA0538"</f>
        <v>CA0538</v>
      </c>
      <c r="C2462" t="s">
        <v>2398</v>
      </c>
    </row>
    <row r="2463" spans="1:3" x14ac:dyDescent="0.25">
      <c r="A2463" t="str">
        <f>"0611832960100"</f>
        <v>0611832960100</v>
      </c>
      <c r="B2463" t="str">
        <f>"LY5594"</f>
        <v>LY5594</v>
      </c>
      <c r="C2463" t="s">
        <v>2399</v>
      </c>
    </row>
    <row r="2464" spans="1:3" x14ac:dyDescent="0.25">
      <c r="A2464" t="str">
        <f>"0611893383050"</f>
        <v>0611893383050</v>
      </c>
      <c r="B2464" t="str">
        <f>"CA0539"</f>
        <v>CA0539</v>
      </c>
      <c r="C2464" t="s">
        <v>2400</v>
      </c>
    </row>
    <row r="2465" spans="1:3" x14ac:dyDescent="0.25">
      <c r="A2465" t="str">
        <f>"0611893384050"</f>
        <v>0611893384050</v>
      </c>
      <c r="B2465" t="str">
        <f>"CA0540"</f>
        <v>CA0540</v>
      </c>
      <c r="C2465" t="s">
        <v>2402</v>
      </c>
    </row>
    <row r="2466" spans="1:3" x14ac:dyDescent="0.25">
      <c r="A2466" t="str">
        <f>"0611832961100"</f>
        <v>0611832961100</v>
      </c>
      <c r="B2466" t="str">
        <f>"LY4512"</f>
        <v>LY4512</v>
      </c>
      <c r="C2466" t="s">
        <v>2409</v>
      </c>
    </row>
    <row r="2467" spans="1:3" x14ac:dyDescent="0.25">
      <c r="A2467" t="str">
        <f>"0611832962100"</f>
        <v>0611832962100</v>
      </c>
      <c r="B2467" t="str">
        <f>"LY0872"</f>
        <v>LY0872</v>
      </c>
      <c r="C2467" t="s">
        <v>2403</v>
      </c>
    </row>
    <row r="2468" spans="1:3" x14ac:dyDescent="0.25">
      <c r="A2468" t="str">
        <f>"0611893385050"</f>
        <v>0611893385050</v>
      </c>
      <c r="B2468" t="str">
        <f>"CA0537"</f>
        <v>CA0537</v>
      </c>
      <c r="C2468" t="s">
        <v>2404</v>
      </c>
    </row>
    <row r="2469" spans="1:3" x14ac:dyDescent="0.25">
      <c r="A2469" t="str">
        <f>"0611832963100"</f>
        <v>0611832963100</v>
      </c>
      <c r="B2469" t="str">
        <f>"LY3958"</f>
        <v>LY3958</v>
      </c>
      <c r="C2469" t="s">
        <v>2405</v>
      </c>
    </row>
    <row r="2470" spans="1:3" x14ac:dyDescent="0.25">
      <c r="A2470" t="str">
        <f>"0611832964100"</f>
        <v>0611832964100</v>
      </c>
      <c r="B2470" t="str">
        <f>"LY5641"</f>
        <v>LY5641</v>
      </c>
      <c r="C2470" t="s">
        <v>2401</v>
      </c>
    </row>
    <row r="2471" spans="1:3" x14ac:dyDescent="0.25">
      <c r="A2471" t="str">
        <f>"0611893386050"</f>
        <v>0611893386050</v>
      </c>
      <c r="B2471" t="str">
        <f>"CA0543"</f>
        <v>CA0543</v>
      </c>
      <c r="C2471" t="s">
        <v>2406</v>
      </c>
    </row>
    <row r="2472" spans="1:3" x14ac:dyDescent="0.25">
      <c r="A2472" t="str">
        <f>"0611893387050"</f>
        <v>0611893387050</v>
      </c>
      <c r="B2472" t="str">
        <f>"CA0542"</f>
        <v>CA0542</v>
      </c>
      <c r="C2472" t="s">
        <v>2408</v>
      </c>
    </row>
    <row r="2473" spans="1:3" x14ac:dyDescent="0.25">
      <c r="A2473" t="str">
        <f>"0611893388050"</f>
        <v>0611893388050</v>
      </c>
      <c r="B2473" t="str">
        <f>"CA0541"</f>
        <v>CA0541</v>
      </c>
      <c r="C2473" t="s">
        <v>2410</v>
      </c>
    </row>
    <row r="2474" spans="1:3" x14ac:dyDescent="0.25">
      <c r="A2474" t="str">
        <f>"0611832965100"</f>
        <v>0611832965100</v>
      </c>
      <c r="B2474" t="str">
        <f>"LY5645"</f>
        <v>LY5645</v>
      </c>
      <c r="C2474" t="s">
        <v>2407</v>
      </c>
    </row>
    <row r="2475" spans="1:3" x14ac:dyDescent="0.25">
      <c r="A2475" t="str">
        <f>"0611861125050"</f>
        <v>0611861125050</v>
      </c>
      <c r="B2475" t="str">
        <f>"CR3430"</f>
        <v>CR3430</v>
      </c>
      <c r="C2475" t="s">
        <v>2411</v>
      </c>
    </row>
    <row r="2476" spans="1:3" x14ac:dyDescent="0.25">
      <c r="A2476" t="str">
        <f>"0611832966100"</f>
        <v>0611832966100</v>
      </c>
      <c r="B2476" t="str">
        <f>"LY0016"</f>
        <v>LY0016</v>
      </c>
      <c r="C2476" t="s">
        <v>2412</v>
      </c>
    </row>
    <row r="2477" spans="1:3" x14ac:dyDescent="0.25">
      <c r="A2477" t="str">
        <f>"0611893389050"</f>
        <v>0611893389050</v>
      </c>
      <c r="B2477" t="str">
        <f>"CA0736"</f>
        <v>CA0736</v>
      </c>
      <c r="C2477" t="s">
        <v>2413</v>
      </c>
    </row>
    <row r="2478" spans="1:3" x14ac:dyDescent="0.25">
      <c r="A2478" t="str">
        <f>"0611893390050"</f>
        <v>0611893390050</v>
      </c>
      <c r="B2478" t="str">
        <f>"CA0546"</f>
        <v>CA0546</v>
      </c>
      <c r="C2478" t="s">
        <v>2414</v>
      </c>
    </row>
    <row r="2479" spans="1:3" x14ac:dyDescent="0.25">
      <c r="A2479" t="str">
        <f>"0611832967100"</f>
        <v>0611832967100</v>
      </c>
      <c r="B2479" t="str">
        <f>"LY5717"</f>
        <v>LY5717</v>
      </c>
      <c r="C2479" t="s">
        <v>2415</v>
      </c>
    </row>
    <row r="2480" spans="1:3" x14ac:dyDescent="0.25">
      <c r="A2480" t="str">
        <f>"0611893391050"</f>
        <v>0611893391050</v>
      </c>
      <c r="B2480" t="str">
        <f>"CA0547"</f>
        <v>CA0547</v>
      </c>
      <c r="C2480" t="s">
        <v>2416</v>
      </c>
    </row>
    <row r="2481" spans="1:3" x14ac:dyDescent="0.25">
      <c r="A2481" t="str">
        <f>"0611832968100"</f>
        <v>0611832968100</v>
      </c>
      <c r="B2481" t="str">
        <f>"LB1848"</f>
        <v>LB1848</v>
      </c>
      <c r="C2481" t="s">
        <v>2417</v>
      </c>
    </row>
    <row r="2482" spans="1:3" x14ac:dyDescent="0.25">
      <c r="A2482" t="str">
        <f>"0611861126050"</f>
        <v>0611861126050</v>
      </c>
      <c r="B2482" t="str">
        <f>"CR4541"</f>
        <v>CR4541</v>
      </c>
      <c r="C2482" t="s">
        <v>2418</v>
      </c>
    </row>
    <row r="2483" spans="1:3" x14ac:dyDescent="0.25">
      <c r="A2483" t="str">
        <f>"0611832969100"</f>
        <v>0611832969100</v>
      </c>
      <c r="B2483" t="str">
        <f>"LH8948"</f>
        <v>LH8948</v>
      </c>
      <c r="C2483" t="s">
        <v>2419</v>
      </c>
    </row>
    <row r="2484" spans="1:3" x14ac:dyDescent="0.25">
      <c r="A2484" t="str">
        <f>"0611893392050"</f>
        <v>0611893392050</v>
      </c>
      <c r="B2484" t="str">
        <f>"CA0549"</f>
        <v>CA0549</v>
      </c>
      <c r="C2484" t="s">
        <v>2420</v>
      </c>
    </row>
    <row r="2485" spans="1:3" x14ac:dyDescent="0.25">
      <c r="A2485" t="str">
        <f>"0611861127050"</f>
        <v>0611861127050</v>
      </c>
      <c r="B2485" t="str">
        <f>"CR4542"</f>
        <v>CR4542</v>
      </c>
      <c r="C2485" t="s">
        <v>2421</v>
      </c>
    </row>
    <row r="2486" spans="1:3" x14ac:dyDescent="0.25">
      <c r="A2486" t="str">
        <f>"0611861128050"</f>
        <v>0611861128050</v>
      </c>
      <c r="B2486" t="str">
        <f>"CR4543"</f>
        <v>CR4543</v>
      </c>
      <c r="C2486" t="s">
        <v>2422</v>
      </c>
    </row>
    <row r="2487" spans="1:3" x14ac:dyDescent="0.25">
      <c r="A2487" t="str">
        <f>"0611832970100"</f>
        <v>0611832970100</v>
      </c>
      <c r="B2487" t="str">
        <f>"LY0008"</f>
        <v>LY0008</v>
      </c>
      <c r="C2487" t="s">
        <v>2423</v>
      </c>
    </row>
    <row r="2488" spans="1:3" x14ac:dyDescent="0.25">
      <c r="A2488" t="str">
        <f>"0611893393050"</f>
        <v>0611893393050</v>
      </c>
      <c r="B2488" t="str">
        <f>"CA0717"</f>
        <v>CA0717</v>
      </c>
      <c r="C2488" t="s">
        <v>2424</v>
      </c>
    </row>
    <row r="2489" spans="1:3" x14ac:dyDescent="0.25">
      <c r="A2489" t="str">
        <f>"0611832971100"</f>
        <v>0611832971100</v>
      </c>
      <c r="B2489" t="str">
        <f>"LY5696"</f>
        <v>LY5696</v>
      </c>
      <c r="C2489" t="s">
        <v>2425</v>
      </c>
    </row>
    <row r="2490" spans="1:3" x14ac:dyDescent="0.25">
      <c r="A2490" t="str">
        <f>"0611893394050"</f>
        <v>0611893394050</v>
      </c>
      <c r="B2490" t="str">
        <f>"CA0551"</f>
        <v>CA0551</v>
      </c>
      <c r="C2490" t="s">
        <v>2426</v>
      </c>
    </row>
    <row r="2491" spans="1:3" x14ac:dyDescent="0.25">
      <c r="A2491" t="str">
        <f>"0611832972100"</f>
        <v>0611832972100</v>
      </c>
      <c r="B2491" t="str">
        <f>"LY5697"</f>
        <v>LY5697</v>
      </c>
      <c r="C2491" t="s">
        <v>2427</v>
      </c>
    </row>
    <row r="2492" spans="1:3" x14ac:dyDescent="0.25">
      <c r="A2492" t="str">
        <f>"0611893395050"</f>
        <v>0611893395050</v>
      </c>
      <c r="B2492" t="str">
        <f>"CA0550"</f>
        <v>CA0550</v>
      </c>
      <c r="C2492" t="s">
        <v>2428</v>
      </c>
    </row>
    <row r="2493" spans="1:3" x14ac:dyDescent="0.25">
      <c r="A2493" t="str">
        <f>"0611861129050"</f>
        <v>0611861129050</v>
      </c>
      <c r="B2493" t="str">
        <f>"CR4544"</f>
        <v>CR4544</v>
      </c>
      <c r="C2493" t="s">
        <v>2429</v>
      </c>
    </row>
    <row r="2494" spans="1:3" x14ac:dyDescent="0.25">
      <c r="A2494" t="str">
        <f>"0611832973100"</f>
        <v>0611832973100</v>
      </c>
      <c r="B2494" t="str">
        <f>"LY5620"</f>
        <v>LY5620</v>
      </c>
      <c r="C2494" t="s">
        <v>2430</v>
      </c>
    </row>
    <row r="2495" spans="1:3" x14ac:dyDescent="0.25">
      <c r="A2495" t="str">
        <f>"0611893396050"</f>
        <v>0611893396050</v>
      </c>
      <c r="B2495" t="str">
        <f>"CA0552"</f>
        <v>CA0552</v>
      </c>
      <c r="C2495" t="s">
        <v>2431</v>
      </c>
    </row>
    <row r="2496" spans="1:3" x14ac:dyDescent="0.25">
      <c r="A2496" t="str">
        <f>"0611832974100"</f>
        <v>0611832974100</v>
      </c>
      <c r="B2496" t="str">
        <f>"LY0009"</f>
        <v>LY0009</v>
      </c>
      <c r="C2496" t="s">
        <v>2432</v>
      </c>
    </row>
    <row r="2497" spans="1:3" x14ac:dyDescent="0.25">
      <c r="A2497" t="str">
        <f>"0611893397050"</f>
        <v>0611893397050</v>
      </c>
      <c r="B2497" t="str">
        <f>"CA0718"</f>
        <v>CA0718</v>
      </c>
      <c r="C2497" t="s">
        <v>2433</v>
      </c>
    </row>
    <row r="2498" spans="1:3" x14ac:dyDescent="0.25">
      <c r="A2498" t="str">
        <f>"0611893398050"</f>
        <v>0611893398050</v>
      </c>
      <c r="B2498" t="str">
        <f>"CA0557"</f>
        <v>CA0557</v>
      </c>
      <c r="C2498" t="s">
        <v>2434</v>
      </c>
    </row>
    <row r="2499" spans="1:3" x14ac:dyDescent="0.25">
      <c r="A2499" t="str">
        <f>"0611893399050"</f>
        <v>0611893399050</v>
      </c>
      <c r="B2499" t="str">
        <f>"CA0556"</f>
        <v>CA0556</v>
      </c>
      <c r="C2499" t="s">
        <v>2435</v>
      </c>
    </row>
    <row r="2500" spans="1:3" x14ac:dyDescent="0.25">
      <c r="A2500" t="str">
        <f>"0611893400050"</f>
        <v>0611893400050</v>
      </c>
      <c r="B2500" t="str">
        <f>"CA0555"</f>
        <v>CA0555</v>
      </c>
      <c r="C2500" t="s">
        <v>2436</v>
      </c>
    </row>
    <row r="2501" spans="1:3" x14ac:dyDescent="0.25">
      <c r="A2501" t="str">
        <f>"0611832975100"</f>
        <v>0611832975100</v>
      </c>
      <c r="B2501" t="str">
        <f>"LY0023"</f>
        <v>LY0023</v>
      </c>
      <c r="C2501" t="s">
        <v>2437</v>
      </c>
    </row>
    <row r="2502" spans="1:3" x14ac:dyDescent="0.25">
      <c r="A2502" t="str">
        <f>"0611893401050"</f>
        <v>0611893401050</v>
      </c>
      <c r="B2502" t="str">
        <f>"CA0742"</f>
        <v>CA0742</v>
      </c>
      <c r="C2502" t="s">
        <v>2438</v>
      </c>
    </row>
    <row r="2503" spans="1:3" x14ac:dyDescent="0.25">
      <c r="A2503" t="str">
        <f>"0611861130050"</f>
        <v>0611861130050</v>
      </c>
      <c r="B2503" t="str">
        <f>"CR4545"</f>
        <v>CR4545</v>
      </c>
      <c r="C2503" t="s">
        <v>2439</v>
      </c>
    </row>
    <row r="2504" spans="1:3" x14ac:dyDescent="0.25">
      <c r="A2504" t="str">
        <f>"0611861131050"</f>
        <v>0611861131050</v>
      </c>
      <c r="B2504" t="str">
        <f>"CR4546"</f>
        <v>CR4546</v>
      </c>
      <c r="C2504" t="s">
        <v>2440</v>
      </c>
    </row>
    <row r="2505" spans="1:3" x14ac:dyDescent="0.25">
      <c r="A2505" t="str">
        <f>"0611861132050"</f>
        <v>0611861132050</v>
      </c>
      <c r="B2505" t="str">
        <f>"CR4547"</f>
        <v>CR4547</v>
      </c>
      <c r="C2505" t="s">
        <v>2441</v>
      </c>
    </row>
    <row r="2506" spans="1:3" x14ac:dyDescent="0.25">
      <c r="A2506" t="str">
        <f>"0611861133050"</f>
        <v>0611861133050</v>
      </c>
      <c r="B2506" t="str">
        <f>"CR3978"</f>
        <v>CR3978</v>
      </c>
      <c r="C2506" t="s">
        <v>13803</v>
      </c>
    </row>
    <row r="2507" spans="1:3" x14ac:dyDescent="0.25">
      <c r="A2507" t="str">
        <f>"0611861134050"</f>
        <v>0611861134050</v>
      </c>
      <c r="B2507" t="str">
        <f>"CR3979"</f>
        <v>CR3979</v>
      </c>
      <c r="C2507" t="s">
        <v>2442</v>
      </c>
    </row>
    <row r="2508" spans="1:3" x14ac:dyDescent="0.25">
      <c r="A2508" t="str">
        <f>"0611861135050"</f>
        <v>0611861135050</v>
      </c>
      <c r="B2508" t="str">
        <f>"CR3980"</f>
        <v>CR3980</v>
      </c>
      <c r="C2508" t="s">
        <v>2443</v>
      </c>
    </row>
    <row r="2509" spans="1:3" x14ac:dyDescent="0.25">
      <c r="A2509" t="str">
        <f>"0611861136050"</f>
        <v>0611861136050</v>
      </c>
      <c r="B2509" t="str">
        <f>"CR5047"</f>
        <v>CR5047</v>
      </c>
      <c r="C2509" t="s">
        <v>2444</v>
      </c>
    </row>
    <row r="2510" spans="1:3" x14ac:dyDescent="0.25">
      <c r="A2510" t="str">
        <f>"0611884089100"</f>
        <v>0611884089100</v>
      </c>
      <c r="B2510" t="str">
        <f>"LY5740"</f>
        <v>LY5740</v>
      </c>
      <c r="C2510" t="s">
        <v>2445</v>
      </c>
    </row>
    <row r="2511" spans="1:3" x14ac:dyDescent="0.25">
      <c r="A2511" t="str">
        <f>"0611893402050"</f>
        <v>0611893402050</v>
      </c>
      <c r="B2511" t="str">
        <f>"CA0760"</f>
        <v>CA0760</v>
      </c>
      <c r="C2511" t="s">
        <v>2446</v>
      </c>
    </row>
    <row r="2512" spans="1:3" x14ac:dyDescent="0.25">
      <c r="A2512" t="str">
        <f>"0611893403050"</f>
        <v>0611893403050</v>
      </c>
      <c r="B2512" t="str">
        <f>"CA0559"</f>
        <v>CA0559</v>
      </c>
      <c r="C2512" t="s">
        <v>2447</v>
      </c>
    </row>
    <row r="2513" spans="1:3" x14ac:dyDescent="0.25">
      <c r="A2513" t="str">
        <f>"0611893404050"</f>
        <v>0611893404050</v>
      </c>
      <c r="B2513" t="str">
        <f>"CA0561"</f>
        <v>CA0561</v>
      </c>
      <c r="C2513" t="s">
        <v>2448</v>
      </c>
    </row>
    <row r="2514" spans="1:3" x14ac:dyDescent="0.25">
      <c r="A2514" t="str">
        <f>"0611893405050"</f>
        <v>0611893405050</v>
      </c>
      <c r="B2514" t="str">
        <f>"CA0560"</f>
        <v>CA0560</v>
      </c>
      <c r="C2514" t="s">
        <v>2449</v>
      </c>
    </row>
    <row r="2515" spans="1:3" x14ac:dyDescent="0.25">
      <c r="A2515" t="str">
        <f>"0611861137050"</f>
        <v>0611861137050</v>
      </c>
      <c r="B2515" t="str">
        <f>"CR4549"</f>
        <v>CR4549</v>
      </c>
      <c r="C2515" t="s">
        <v>2450</v>
      </c>
    </row>
    <row r="2516" spans="1:3" x14ac:dyDescent="0.25">
      <c r="A2516" t="str">
        <f>"0611832976100"</f>
        <v>0611832976100</v>
      </c>
      <c r="B2516" t="str">
        <f>"LY5673"</f>
        <v>LY5673</v>
      </c>
      <c r="C2516" t="s">
        <v>2451</v>
      </c>
    </row>
    <row r="2517" spans="1:3" x14ac:dyDescent="0.25">
      <c r="A2517" t="str">
        <f>"0611893406050"</f>
        <v>0611893406050</v>
      </c>
      <c r="B2517" t="str">
        <f>"CA0562"</f>
        <v>CA0562</v>
      </c>
      <c r="C2517" t="s">
        <v>2452</v>
      </c>
    </row>
    <row r="2518" spans="1:3" x14ac:dyDescent="0.25">
      <c r="A2518" t="str">
        <f>"0611832977100"</f>
        <v>0611832977100</v>
      </c>
      <c r="B2518" t="str">
        <f>"LY5707"</f>
        <v>LY5707</v>
      </c>
      <c r="C2518" t="s">
        <v>2453</v>
      </c>
    </row>
    <row r="2519" spans="1:3" x14ac:dyDescent="0.25">
      <c r="A2519" t="str">
        <f>"0611893407050"</f>
        <v>0611893407050</v>
      </c>
      <c r="B2519" t="str">
        <f>"CA0563"</f>
        <v>CA0563</v>
      </c>
      <c r="C2519" t="s">
        <v>2454</v>
      </c>
    </row>
    <row r="2520" spans="1:3" x14ac:dyDescent="0.25">
      <c r="A2520" t="str">
        <f>"0611861138050"</f>
        <v>0611861138050</v>
      </c>
      <c r="B2520" t="str">
        <f>"CR4550"</f>
        <v>CR4550</v>
      </c>
      <c r="C2520" t="s">
        <v>2455</v>
      </c>
    </row>
    <row r="2521" spans="1:3" x14ac:dyDescent="0.25">
      <c r="A2521" t="str">
        <f>"0611832978100"</f>
        <v>0611832978100</v>
      </c>
      <c r="B2521" t="str">
        <f>"LY5674"</f>
        <v>LY5674</v>
      </c>
      <c r="C2521" t="s">
        <v>2456</v>
      </c>
    </row>
    <row r="2522" spans="1:3" x14ac:dyDescent="0.25">
      <c r="A2522" t="str">
        <f>"0611893408050"</f>
        <v>0611893408050</v>
      </c>
      <c r="B2522" t="str">
        <f>"CA0564"</f>
        <v>CA0564</v>
      </c>
      <c r="C2522" t="s">
        <v>2457</v>
      </c>
    </row>
    <row r="2523" spans="1:3" x14ac:dyDescent="0.25">
      <c r="A2523" t="str">
        <f>"0611832979100"</f>
        <v>0611832979100</v>
      </c>
      <c r="B2523" t="str">
        <f>"LY0232"</f>
        <v>LY0232</v>
      </c>
      <c r="C2523" t="s">
        <v>2458</v>
      </c>
    </row>
    <row r="2524" spans="1:3" x14ac:dyDescent="0.25">
      <c r="A2524" t="str">
        <f>"0611893409050"</f>
        <v>0611893409050</v>
      </c>
      <c r="B2524" t="str">
        <f>"CA0565"</f>
        <v>CA0565</v>
      </c>
      <c r="C2524" t="s">
        <v>2459</v>
      </c>
    </row>
    <row r="2525" spans="1:3" x14ac:dyDescent="0.25">
      <c r="A2525" t="str">
        <f>"0611856868100"</f>
        <v>0611856868100</v>
      </c>
      <c r="B2525" t="str">
        <f>"LY5731"</f>
        <v>LY5731</v>
      </c>
      <c r="C2525" t="s">
        <v>2460</v>
      </c>
    </row>
    <row r="2526" spans="1:3" x14ac:dyDescent="0.25">
      <c r="A2526" t="str">
        <f>"0611893410050"</f>
        <v>0611893410050</v>
      </c>
      <c r="B2526" t="str">
        <f>"CA0748"</f>
        <v>CA0748</v>
      </c>
      <c r="C2526" t="s">
        <v>2461</v>
      </c>
    </row>
    <row r="2527" spans="1:3" x14ac:dyDescent="0.25">
      <c r="A2527" t="str">
        <f>"0611884090100"</f>
        <v>0611884090100</v>
      </c>
      <c r="B2527" t="str">
        <f>"LY5741"</f>
        <v>LY5741</v>
      </c>
      <c r="C2527" t="s">
        <v>2462</v>
      </c>
    </row>
    <row r="2528" spans="1:3" x14ac:dyDescent="0.25">
      <c r="A2528" t="str">
        <f>"0611893411050"</f>
        <v>0611893411050</v>
      </c>
      <c r="B2528" t="str">
        <f>"CA0761"</f>
        <v>CA0761</v>
      </c>
      <c r="C2528" t="s">
        <v>2463</v>
      </c>
    </row>
    <row r="2529" spans="1:3" x14ac:dyDescent="0.25">
      <c r="A2529" t="str">
        <f>"0611832980100"</f>
        <v>0611832980100</v>
      </c>
      <c r="B2529" t="str">
        <f>"LY5700"</f>
        <v>LY5700</v>
      </c>
      <c r="C2529" t="s">
        <v>2464</v>
      </c>
    </row>
    <row r="2530" spans="1:3" x14ac:dyDescent="0.25">
      <c r="A2530" t="str">
        <f>"0611893412050"</f>
        <v>0611893412050</v>
      </c>
      <c r="B2530" t="str">
        <f>"CA0566"</f>
        <v>CA0566</v>
      </c>
      <c r="C2530" t="s">
        <v>2465</v>
      </c>
    </row>
    <row r="2531" spans="1:3" x14ac:dyDescent="0.25">
      <c r="A2531" t="str">
        <f>"0611893413050"</f>
        <v>0611893413050</v>
      </c>
      <c r="B2531" t="str">
        <f>"CA0568"</f>
        <v>CA0568</v>
      </c>
      <c r="C2531" t="s">
        <v>2466</v>
      </c>
    </row>
    <row r="2532" spans="1:3" x14ac:dyDescent="0.25">
      <c r="A2532" t="str">
        <f>"0611893414050"</f>
        <v>0611893414050</v>
      </c>
      <c r="B2532" t="str">
        <f>"CA0569"</f>
        <v>CA0569</v>
      </c>
      <c r="C2532" t="s">
        <v>2467</v>
      </c>
    </row>
    <row r="2533" spans="1:3" x14ac:dyDescent="0.25">
      <c r="A2533" t="str">
        <f>"0611893415050"</f>
        <v>0611893415050</v>
      </c>
      <c r="B2533" t="str">
        <f>"CA0571"</f>
        <v>CA0571</v>
      </c>
      <c r="C2533" t="s">
        <v>2468</v>
      </c>
    </row>
    <row r="2534" spans="1:3" x14ac:dyDescent="0.25">
      <c r="A2534" t="str">
        <f>"0611893416050"</f>
        <v>0611893416050</v>
      </c>
      <c r="B2534" t="str">
        <f>"CA0572"</f>
        <v>CA0572</v>
      </c>
      <c r="C2534" t="s">
        <v>2469</v>
      </c>
    </row>
    <row r="2535" spans="1:3" x14ac:dyDescent="0.25">
      <c r="A2535" t="str">
        <f>"0611861139050"</f>
        <v>0611861139050</v>
      </c>
      <c r="B2535" t="str">
        <f>"CR4551"</f>
        <v>CR4551</v>
      </c>
      <c r="C2535" t="s">
        <v>2470</v>
      </c>
    </row>
    <row r="2536" spans="1:3" x14ac:dyDescent="0.25">
      <c r="A2536" t="str">
        <f>"0611893417050"</f>
        <v>0611893417050</v>
      </c>
      <c r="B2536" t="str">
        <f>"CA0573"</f>
        <v>CA0573</v>
      </c>
      <c r="C2536" t="s">
        <v>2471</v>
      </c>
    </row>
    <row r="2537" spans="1:3" x14ac:dyDescent="0.25">
      <c r="A2537" t="str">
        <f>"0611861140050"</f>
        <v>0611861140050</v>
      </c>
      <c r="B2537" t="str">
        <f>"CR4552"</f>
        <v>CR4552</v>
      </c>
      <c r="C2537" t="s">
        <v>2472</v>
      </c>
    </row>
    <row r="2538" spans="1:3" x14ac:dyDescent="0.25">
      <c r="A2538" t="str">
        <f>"0611832981100"</f>
        <v>0611832981100</v>
      </c>
      <c r="B2538" t="str">
        <f>"LC6400"</f>
        <v>LC6400</v>
      </c>
      <c r="C2538" t="s">
        <v>2473</v>
      </c>
    </row>
    <row r="2539" spans="1:3" x14ac:dyDescent="0.25">
      <c r="A2539" t="str">
        <f>"0611861141050"</f>
        <v>0611861141050</v>
      </c>
      <c r="B2539" t="str">
        <f>"CR4885"</f>
        <v>CR4885</v>
      </c>
      <c r="C2539" t="s">
        <v>2474</v>
      </c>
    </row>
    <row r="2540" spans="1:3" x14ac:dyDescent="0.25">
      <c r="A2540" t="str">
        <f>"0611861142050"</f>
        <v>0611861142050</v>
      </c>
      <c r="B2540" t="str">
        <f>"CR4553"</f>
        <v>CR4553</v>
      </c>
      <c r="C2540" t="s">
        <v>2475</v>
      </c>
    </row>
    <row r="2541" spans="1:3" x14ac:dyDescent="0.25">
      <c r="A2541" t="str">
        <f>"0611861143050"</f>
        <v>0611861143050</v>
      </c>
      <c r="B2541" t="str">
        <f>"CR4554"</f>
        <v>CR4554</v>
      </c>
      <c r="C2541" t="s">
        <v>2476</v>
      </c>
    </row>
    <row r="2542" spans="1:3" x14ac:dyDescent="0.25">
      <c r="A2542" t="str">
        <f>"0611893418050"</f>
        <v>0611893418050</v>
      </c>
      <c r="B2542" t="str">
        <f>"CA0530"</f>
        <v>CA0530</v>
      </c>
      <c r="C2542" t="s">
        <v>2477</v>
      </c>
    </row>
    <row r="2543" spans="1:3" x14ac:dyDescent="0.25">
      <c r="A2543" t="str">
        <f>"0611893419050"</f>
        <v>0611893419050</v>
      </c>
      <c r="B2543" t="str">
        <f>"CA0574"</f>
        <v>CA0574</v>
      </c>
      <c r="C2543" t="s">
        <v>2478</v>
      </c>
    </row>
    <row r="2544" spans="1:3" x14ac:dyDescent="0.25">
      <c r="A2544" t="str">
        <f>"0611893420050"</f>
        <v>0611893420050</v>
      </c>
      <c r="B2544" t="str">
        <f>"CA0577"</f>
        <v>CA0577</v>
      </c>
      <c r="C2544" t="s">
        <v>2479</v>
      </c>
    </row>
    <row r="2545" spans="1:3" x14ac:dyDescent="0.25">
      <c r="A2545" t="str">
        <f>"0611893421050"</f>
        <v>0611893421050</v>
      </c>
      <c r="B2545" t="str">
        <f>"CA0624"</f>
        <v>CA0624</v>
      </c>
      <c r="C2545" t="s">
        <v>2480</v>
      </c>
    </row>
    <row r="2546" spans="1:3" x14ac:dyDescent="0.25">
      <c r="A2546" t="str">
        <f>"0611893422050"</f>
        <v>0611893422050</v>
      </c>
      <c r="B2546" t="str">
        <f>"CA0625"</f>
        <v>CA0625</v>
      </c>
      <c r="C2546" t="s">
        <v>2481</v>
      </c>
    </row>
    <row r="2547" spans="1:3" x14ac:dyDescent="0.25">
      <c r="A2547" t="str">
        <f>"0611893423050"</f>
        <v>0611893423050</v>
      </c>
      <c r="B2547" t="str">
        <f>"CA0684"</f>
        <v>CA0684</v>
      </c>
      <c r="C2547" t="s">
        <v>2482</v>
      </c>
    </row>
    <row r="2548" spans="1:3" x14ac:dyDescent="0.25">
      <c r="A2548" t="str">
        <f>"0611893424050"</f>
        <v>0611893424050</v>
      </c>
      <c r="B2548" t="str">
        <f>"CA0697"</f>
        <v>CA0697</v>
      </c>
      <c r="C2548" t="s">
        <v>2483</v>
      </c>
    </row>
    <row r="2549" spans="1:3" x14ac:dyDescent="0.25">
      <c r="A2549" t="str">
        <f>"0611893425050"</f>
        <v>0611893425050</v>
      </c>
      <c r="B2549" t="str">
        <f>"CR5282"</f>
        <v>CR5282</v>
      </c>
      <c r="C2549" t="s">
        <v>2484</v>
      </c>
    </row>
    <row r="2550" spans="1:3" x14ac:dyDescent="0.25">
      <c r="A2550" t="str">
        <f>"0611916447100"</f>
        <v>0611916447100</v>
      </c>
      <c r="B2550" t="str">
        <f>"LY5754"</f>
        <v>LY5754</v>
      </c>
      <c r="C2550" t="s">
        <v>13960</v>
      </c>
    </row>
    <row r="2551" spans="1:3" x14ac:dyDescent="0.25">
      <c r="A2551" t="str">
        <f>"0611916442050"</f>
        <v>0611916442050</v>
      </c>
      <c r="B2551" t="str">
        <f>"CA0774"</f>
        <v>CA0774</v>
      </c>
      <c r="C2551" t="s">
        <v>13804</v>
      </c>
    </row>
    <row r="2552" spans="1:3" x14ac:dyDescent="0.25">
      <c r="A2552" t="str">
        <f>"0611832982100"</f>
        <v>0611832982100</v>
      </c>
      <c r="B2552" t="str">
        <f>"LY5683"</f>
        <v>LY5683</v>
      </c>
      <c r="C2552" t="s">
        <v>2485</v>
      </c>
    </row>
    <row r="2553" spans="1:3" x14ac:dyDescent="0.25">
      <c r="A2553" t="str">
        <f>"0611893426050"</f>
        <v>0611893426050</v>
      </c>
      <c r="B2553" t="str">
        <f>"CA0580"</f>
        <v>CA0580</v>
      </c>
      <c r="C2553" t="s">
        <v>2486</v>
      </c>
    </row>
    <row r="2554" spans="1:3" x14ac:dyDescent="0.25">
      <c r="A2554" t="str">
        <f>"0611832983100"</f>
        <v>0611832983100</v>
      </c>
      <c r="B2554" t="str">
        <f>"LY5684"</f>
        <v>LY5684</v>
      </c>
      <c r="C2554" t="s">
        <v>2487</v>
      </c>
    </row>
    <row r="2555" spans="1:3" x14ac:dyDescent="0.25">
      <c r="A2555" t="str">
        <f>"0611893427050"</f>
        <v>0611893427050</v>
      </c>
      <c r="B2555" t="str">
        <f>"CA0579"</f>
        <v>CA0579</v>
      </c>
      <c r="C2555" t="s">
        <v>2488</v>
      </c>
    </row>
    <row r="2556" spans="1:3" x14ac:dyDescent="0.25">
      <c r="A2556" t="str">
        <f>"0611832984100"</f>
        <v>0611832984100</v>
      </c>
      <c r="B2556" t="str">
        <f>"LY0235"</f>
        <v>LY0235</v>
      </c>
      <c r="C2556" t="s">
        <v>2489</v>
      </c>
    </row>
    <row r="2557" spans="1:3" x14ac:dyDescent="0.25">
      <c r="A2557" t="str">
        <f>"0611893428050"</f>
        <v>0611893428050</v>
      </c>
      <c r="B2557" t="str">
        <f>"CA0581"</f>
        <v>CA0581</v>
      </c>
      <c r="C2557" t="s">
        <v>2490</v>
      </c>
    </row>
    <row r="2558" spans="1:3" x14ac:dyDescent="0.25">
      <c r="A2558" t="str">
        <f>"0611832985100"</f>
        <v>0611832985100</v>
      </c>
      <c r="B2558" t="str">
        <f>"LY5685"</f>
        <v>LY5685</v>
      </c>
      <c r="C2558" t="s">
        <v>2491</v>
      </c>
    </row>
    <row r="2559" spans="1:3" x14ac:dyDescent="0.25">
      <c r="A2559" t="str">
        <f>"0611893429050"</f>
        <v>0611893429050</v>
      </c>
      <c r="B2559" t="str">
        <f>"CA0582"</f>
        <v>CA0582</v>
      </c>
      <c r="C2559" t="s">
        <v>2492</v>
      </c>
    </row>
    <row r="2560" spans="1:3" x14ac:dyDescent="0.25">
      <c r="A2560" t="str">
        <f>"0611832986100"</f>
        <v>0611832986100</v>
      </c>
      <c r="B2560" t="str">
        <f>"LY5686"</f>
        <v>LY5686</v>
      </c>
      <c r="C2560" t="s">
        <v>2493</v>
      </c>
    </row>
    <row r="2561" spans="1:3" x14ac:dyDescent="0.25">
      <c r="A2561" t="str">
        <f>"0611893430050"</f>
        <v>0611893430050</v>
      </c>
      <c r="B2561" t="str">
        <f>"CA0583"</f>
        <v>CA0583</v>
      </c>
      <c r="C2561" t="s">
        <v>2494</v>
      </c>
    </row>
    <row r="2562" spans="1:3" x14ac:dyDescent="0.25">
      <c r="A2562" t="str">
        <f>"0611832987100"</f>
        <v>0611832987100</v>
      </c>
      <c r="B2562" t="str">
        <f>"LY5687"</f>
        <v>LY5687</v>
      </c>
      <c r="C2562" t="s">
        <v>2495</v>
      </c>
    </row>
    <row r="2563" spans="1:3" x14ac:dyDescent="0.25">
      <c r="A2563" t="str">
        <f>"0611893431050"</f>
        <v>0611893431050</v>
      </c>
      <c r="B2563" t="str">
        <f>"CA0578"</f>
        <v>CA0578</v>
      </c>
      <c r="C2563" t="s">
        <v>2496</v>
      </c>
    </row>
    <row r="2564" spans="1:3" x14ac:dyDescent="0.25">
      <c r="A2564" t="str">
        <f>"0611861144050"</f>
        <v>0611861144050</v>
      </c>
      <c r="B2564" t="str">
        <f>"CR4555"</f>
        <v>CR4555</v>
      </c>
      <c r="C2564" t="s">
        <v>2499</v>
      </c>
    </row>
    <row r="2565" spans="1:3" x14ac:dyDescent="0.25">
      <c r="A2565" t="str">
        <f>"0611861145050"</f>
        <v>0611861145050</v>
      </c>
      <c r="B2565" t="str">
        <f>"CR4556"</f>
        <v>CR4556</v>
      </c>
      <c r="C2565" t="s">
        <v>2500</v>
      </c>
    </row>
    <row r="2566" spans="1:3" x14ac:dyDescent="0.25">
      <c r="A2566" t="str">
        <f>"0611861146050"</f>
        <v>0611861146050</v>
      </c>
      <c r="B2566" t="str">
        <f>"CR4557"</f>
        <v>CR4557</v>
      </c>
      <c r="C2566" t="s">
        <v>2501</v>
      </c>
    </row>
    <row r="2567" spans="1:3" x14ac:dyDescent="0.25">
      <c r="A2567" t="str">
        <f>"0611893432050"</f>
        <v>0611893432050</v>
      </c>
      <c r="B2567" t="str">
        <f>"CA0584"</f>
        <v>CA0584</v>
      </c>
      <c r="C2567" t="s">
        <v>2502</v>
      </c>
    </row>
    <row r="2568" spans="1:3" x14ac:dyDescent="0.25">
      <c r="A2568" t="str">
        <f>"0611893433050"</f>
        <v>0611893433050</v>
      </c>
      <c r="B2568" t="str">
        <f>"CA0722"</f>
        <v>CA0722</v>
      </c>
      <c r="C2568" t="s">
        <v>2503</v>
      </c>
    </row>
    <row r="2569" spans="1:3" x14ac:dyDescent="0.25">
      <c r="A2569" t="str">
        <f>"0611893434050"</f>
        <v>0611893434050</v>
      </c>
      <c r="B2569" t="str">
        <f>"CA0586"</f>
        <v>CA0586</v>
      </c>
      <c r="C2569" t="s">
        <v>2504</v>
      </c>
    </row>
    <row r="2570" spans="1:3" x14ac:dyDescent="0.25">
      <c r="A2570" t="str">
        <f>"0611893435050"</f>
        <v>0611893435050</v>
      </c>
      <c r="B2570" t="str">
        <f>"CA0585"</f>
        <v>CA0585</v>
      </c>
      <c r="C2570" t="s">
        <v>2505</v>
      </c>
    </row>
    <row r="2571" spans="1:3" x14ac:dyDescent="0.25">
      <c r="A2571" t="str">
        <f>"0611893436050"</f>
        <v>0611893436050</v>
      </c>
      <c r="B2571" t="str">
        <f>"CA0587"</f>
        <v>CA0587</v>
      </c>
      <c r="C2571" t="s">
        <v>2506</v>
      </c>
    </row>
    <row r="2572" spans="1:3" x14ac:dyDescent="0.25">
      <c r="A2572" t="str">
        <f>"0611893437050"</f>
        <v>0611893437050</v>
      </c>
      <c r="B2572" t="str">
        <f>"CA0590"</f>
        <v>CA0590</v>
      </c>
      <c r="C2572" t="s">
        <v>2507</v>
      </c>
    </row>
    <row r="2573" spans="1:3" x14ac:dyDescent="0.25">
      <c r="A2573" t="str">
        <f>"0611832988100"</f>
        <v>0611832988100</v>
      </c>
      <c r="B2573" t="str">
        <f>"LY0010"</f>
        <v>LY0010</v>
      </c>
      <c r="C2573" t="s">
        <v>2508</v>
      </c>
    </row>
    <row r="2574" spans="1:3" x14ac:dyDescent="0.25">
      <c r="A2574" t="str">
        <f>"0611893438050"</f>
        <v>0611893438050</v>
      </c>
      <c r="B2574" t="str">
        <f>"CA0720"</f>
        <v>CA0720</v>
      </c>
      <c r="C2574" t="s">
        <v>2509</v>
      </c>
    </row>
    <row r="2575" spans="1:3" x14ac:dyDescent="0.25">
      <c r="A2575" t="str">
        <f>"0611832989100"</f>
        <v>0611832989100</v>
      </c>
      <c r="B2575" t="str">
        <f>"LY5688"</f>
        <v>LY5688</v>
      </c>
      <c r="C2575" t="s">
        <v>2510</v>
      </c>
    </row>
    <row r="2576" spans="1:3" x14ac:dyDescent="0.25">
      <c r="A2576" t="str">
        <f>"0611893439050"</f>
        <v>0611893439050</v>
      </c>
      <c r="B2576" t="str">
        <f>"CA0591"</f>
        <v>CA0591</v>
      </c>
      <c r="C2576" t="s">
        <v>2511</v>
      </c>
    </row>
    <row r="2577" spans="1:3" x14ac:dyDescent="0.25">
      <c r="A2577" t="str">
        <f>"0611832990100"</f>
        <v>0611832990100</v>
      </c>
      <c r="B2577" t="str">
        <f>"LY0011"</f>
        <v>LY0011</v>
      </c>
      <c r="C2577" t="s">
        <v>2512</v>
      </c>
    </row>
    <row r="2578" spans="1:3" x14ac:dyDescent="0.25">
      <c r="A2578" t="str">
        <f>"0611893440050"</f>
        <v>0611893440050</v>
      </c>
      <c r="B2578" t="str">
        <f>"CA0719"</f>
        <v>CA0719</v>
      </c>
      <c r="C2578" t="s">
        <v>2513</v>
      </c>
    </row>
    <row r="2579" spans="1:3" x14ac:dyDescent="0.25">
      <c r="A2579" t="str">
        <f>"0611832991100"</f>
        <v>0611832991100</v>
      </c>
      <c r="B2579" t="str">
        <f>"LY5629"</f>
        <v>LY5629</v>
      </c>
      <c r="C2579" t="s">
        <v>2514</v>
      </c>
    </row>
    <row r="2580" spans="1:3" x14ac:dyDescent="0.25">
      <c r="A2580" t="str">
        <f>"0611893441050"</f>
        <v>0611893441050</v>
      </c>
      <c r="B2580" t="str">
        <f>"CA0592"</f>
        <v>CA0592</v>
      </c>
      <c r="C2580" t="s">
        <v>2515</v>
      </c>
    </row>
    <row r="2581" spans="1:3" x14ac:dyDescent="0.25">
      <c r="A2581" t="str">
        <f>"0611832992100"</f>
        <v>0611832992100</v>
      </c>
      <c r="B2581" t="str">
        <f>"LY5600"</f>
        <v>LY5600</v>
      </c>
      <c r="C2581" t="s">
        <v>2516</v>
      </c>
    </row>
    <row r="2582" spans="1:3" x14ac:dyDescent="0.25">
      <c r="A2582" t="str">
        <f>"0611893442050"</f>
        <v>0611893442050</v>
      </c>
      <c r="B2582" t="str">
        <f>"CA0593"</f>
        <v>CA0593</v>
      </c>
      <c r="C2582" t="s">
        <v>2517</v>
      </c>
    </row>
    <row r="2583" spans="1:3" x14ac:dyDescent="0.25">
      <c r="A2583" t="str">
        <f>"0611832993100"</f>
        <v>0611832993100</v>
      </c>
      <c r="B2583" t="str">
        <f>"LH2002"</f>
        <v>LH2002</v>
      </c>
      <c r="C2583" t="s">
        <v>2518</v>
      </c>
    </row>
    <row r="2584" spans="1:3" x14ac:dyDescent="0.25">
      <c r="A2584" t="str">
        <f>"0611832994025"</f>
        <v>0611832994025</v>
      </c>
      <c r="B2584" t="str">
        <f>"MC3387"</f>
        <v>MC3387</v>
      </c>
      <c r="C2584" t="s">
        <v>2519</v>
      </c>
    </row>
    <row r="2585" spans="1:3" x14ac:dyDescent="0.25">
      <c r="A2585" t="str">
        <f>"0611832995100"</f>
        <v>0611832995100</v>
      </c>
      <c r="B2585" t="str">
        <f>"LY5677"</f>
        <v>LY5677</v>
      </c>
      <c r="C2585" t="s">
        <v>2520</v>
      </c>
    </row>
    <row r="2586" spans="1:3" x14ac:dyDescent="0.25">
      <c r="A2586" t="str">
        <f>"0611893443050"</f>
        <v>0611893443050</v>
      </c>
      <c r="B2586" t="str">
        <f>"CA0600"</f>
        <v>CA0600</v>
      </c>
      <c r="C2586" t="s">
        <v>2521</v>
      </c>
    </row>
    <row r="2587" spans="1:3" x14ac:dyDescent="0.25">
      <c r="A2587" t="str">
        <f>"0611893444050"</f>
        <v>0611893444050</v>
      </c>
      <c r="B2587" t="str">
        <f>"CA0603"</f>
        <v>CA0603</v>
      </c>
      <c r="C2587" t="s">
        <v>2522</v>
      </c>
    </row>
    <row r="2588" spans="1:3" x14ac:dyDescent="0.25">
      <c r="A2588" t="str">
        <f>"0611893445050"</f>
        <v>0611893445050</v>
      </c>
      <c r="B2588" t="str">
        <f>"CA0601"</f>
        <v>CA0601</v>
      </c>
      <c r="C2588" t="s">
        <v>2523</v>
      </c>
    </row>
    <row r="2589" spans="1:3" x14ac:dyDescent="0.25">
      <c r="A2589" t="str">
        <f>"0611861147050"</f>
        <v>0611861147050</v>
      </c>
      <c r="B2589" t="str">
        <f>"CR4558"</f>
        <v>CR4558</v>
      </c>
      <c r="C2589" t="s">
        <v>2524</v>
      </c>
    </row>
    <row r="2590" spans="1:3" x14ac:dyDescent="0.25">
      <c r="A2590" t="str">
        <f>"0611861148050"</f>
        <v>0611861148050</v>
      </c>
      <c r="B2590" t="str">
        <f>"CR4559"</f>
        <v>CR4559</v>
      </c>
      <c r="C2590" t="s">
        <v>2525</v>
      </c>
    </row>
    <row r="2591" spans="1:3" x14ac:dyDescent="0.25">
      <c r="A2591" t="str">
        <f>"0611861149050"</f>
        <v>0611861149050</v>
      </c>
      <c r="B2591" t="str">
        <f>"CR5054"</f>
        <v>CR5054</v>
      </c>
      <c r="C2591" t="s">
        <v>2526</v>
      </c>
    </row>
    <row r="2592" spans="1:3" x14ac:dyDescent="0.25">
      <c r="A2592" t="str">
        <f>"0611861150050"</f>
        <v>0611861150050</v>
      </c>
      <c r="B2592" t="str">
        <f>"CR4560"</f>
        <v>CR4560</v>
      </c>
      <c r="C2592" t="s">
        <v>2527</v>
      </c>
    </row>
    <row r="2593" spans="1:3" x14ac:dyDescent="0.25">
      <c r="A2593" t="str">
        <f>"0611861151050"</f>
        <v>0611861151050</v>
      </c>
      <c r="B2593" t="str">
        <f>"CR4561"</f>
        <v>CR4561</v>
      </c>
      <c r="C2593" t="s">
        <v>2528</v>
      </c>
    </row>
    <row r="2594" spans="1:3" x14ac:dyDescent="0.25">
      <c r="A2594" t="str">
        <f>"0611832996100"</f>
        <v>0611832996100</v>
      </c>
      <c r="B2594" t="str">
        <f>"LY5662"</f>
        <v>LY5662</v>
      </c>
      <c r="C2594" t="s">
        <v>2529</v>
      </c>
    </row>
    <row r="2595" spans="1:3" x14ac:dyDescent="0.25">
      <c r="A2595" t="str">
        <f>"0611893446050"</f>
        <v>0611893446050</v>
      </c>
      <c r="B2595" t="str">
        <f>"CA0614"</f>
        <v>CA0614</v>
      </c>
      <c r="C2595" t="s">
        <v>2530</v>
      </c>
    </row>
    <row r="2596" spans="1:3" x14ac:dyDescent="0.25">
      <c r="A2596" t="str">
        <f>"0611832997100"</f>
        <v>0611832997100</v>
      </c>
      <c r="B2596" t="str">
        <f>"LY5663"</f>
        <v>LY5663</v>
      </c>
      <c r="C2596" t="s">
        <v>2531</v>
      </c>
    </row>
    <row r="2597" spans="1:3" x14ac:dyDescent="0.25">
      <c r="A2597" t="str">
        <f>"0611893447050"</f>
        <v>0611893447050</v>
      </c>
      <c r="B2597" t="str">
        <f>"CA0612"</f>
        <v>CA0612</v>
      </c>
      <c r="C2597" t="s">
        <v>2532</v>
      </c>
    </row>
    <row r="2598" spans="1:3" x14ac:dyDescent="0.25">
      <c r="A2598" t="str">
        <f>"0611832998100"</f>
        <v>0611832998100</v>
      </c>
      <c r="B2598" t="str">
        <f>"LY5664"</f>
        <v>LY5664</v>
      </c>
      <c r="C2598" t="s">
        <v>2533</v>
      </c>
    </row>
    <row r="2599" spans="1:3" x14ac:dyDescent="0.25">
      <c r="A2599" t="str">
        <f>"0611893448050"</f>
        <v>0611893448050</v>
      </c>
      <c r="B2599" t="str">
        <f>"CA0609"</f>
        <v>CA0609</v>
      </c>
      <c r="C2599" t="s">
        <v>2534</v>
      </c>
    </row>
    <row r="2600" spans="1:3" x14ac:dyDescent="0.25">
      <c r="A2600" t="str">
        <f>"0611832999100"</f>
        <v>0611832999100</v>
      </c>
      <c r="B2600" t="str">
        <f>"LY5665"</f>
        <v>LY5665</v>
      </c>
      <c r="C2600" t="s">
        <v>2535</v>
      </c>
    </row>
    <row r="2601" spans="1:3" x14ac:dyDescent="0.25">
      <c r="A2601" t="str">
        <f>"0611893449050"</f>
        <v>0611893449050</v>
      </c>
      <c r="B2601" t="str">
        <f>"CA0611"</f>
        <v>CA0611</v>
      </c>
      <c r="C2601" t="s">
        <v>2536</v>
      </c>
    </row>
    <row r="2602" spans="1:3" x14ac:dyDescent="0.25">
      <c r="A2602" t="str">
        <f>"0611833000100"</f>
        <v>0611833000100</v>
      </c>
      <c r="B2602" t="str">
        <f>"LY0004"</f>
        <v>LY0004</v>
      </c>
      <c r="C2602" t="s">
        <v>2537</v>
      </c>
    </row>
    <row r="2603" spans="1:3" x14ac:dyDescent="0.25">
      <c r="A2603" t="str">
        <f>"0611893450050"</f>
        <v>0611893450050</v>
      </c>
      <c r="B2603" t="str">
        <f>"CA0613"</f>
        <v>CA0613</v>
      </c>
      <c r="C2603" t="s">
        <v>2538</v>
      </c>
    </row>
    <row r="2604" spans="1:3" x14ac:dyDescent="0.25">
      <c r="A2604" t="str">
        <f>"0611833001100"</f>
        <v>0611833001100</v>
      </c>
      <c r="B2604" t="str">
        <f>"LY5666"</f>
        <v>LY5666</v>
      </c>
      <c r="C2604" t="s">
        <v>2539</v>
      </c>
    </row>
    <row r="2605" spans="1:3" x14ac:dyDescent="0.25">
      <c r="A2605" t="str">
        <f>"0611893451050"</f>
        <v>0611893451050</v>
      </c>
      <c r="B2605" t="str">
        <f>"CA0610"</f>
        <v>CA0610</v>
      </c>
      <c r="C2605" t="s">
        <v>2540</v>
      </c>
    </row>
    <row r="2606" spans="1:3" x14ac:dyDescent="0.25">
      <c r="A2606" t="str">
        <f>"0611861152050"</f>
        <v>0611861152050</v>
      </c>
      <c r="B2606" t="str">
        <f>"CR5055"</f>
        <v>CR5055</v>
      </c>
      <c r="C2606" t="s">
        <v>2541</v>
      </c>
    </row>
    <row r="2607" spans="1:3" x14ac:dyDescent="0.25">
      <c r="A2607" t="str">
        <f>"0611861153050"</f>
        <v>0611861153050</v>
      </c>
      <c r="B2607" t="str">
        <f>"CR5056"</f>
        <v>CR5056</v>
      </c>
      <c r="C2607" t="s">
        <v>2542</v>
      </c>
    </row>
    <row r="2608" spans="1:3" x14ac:dyDescent="0.25">
      <c r="A2608" t="str">
        <f>"0611861154050"</f>
        <v>0611861154050</v>
      </c>
      <c r="B2608" t="str">
        <f>"CR5057"</f>
        <v>CR5057</v>
      </c>
      <c r="C2608" t="s">
        <v>2543</v>
      </c>
    </row>
    <row r="2609" spans="1:3" x14ac:dyDescent="0.25">
      <c r="A2609" t="str">
        <f>"0611893452050"</f>
        <v>0611893452050</v>
      </c>
      <c r="B2609" t="str">
        <f>"CA0615"</f>
        <v>CA0615</v>
      </c>
      <c r="C2609" t="s">
        <v>2544</v>
      </c>
    </row>
    <row r="2610" spans="1:3" x14ac:dyDescent="0.25">
      <c r="A2610" t="str">
        <f>"0611856869100"</f>
        <v>0611856869100</v>
      </c>
      <c r="B2610" t="str">
        <f>"LY5733"</f>
        <v>LY5733</v>
      </c>
      <c r="C2610" t="s">
        <v>2545</v>
      </c>
    </row>
    <row r="2611" spans="1:3" x14ac:dyDescent="0.25">
      <c r="A2611" t="str">
        <f>"0611893453050"</f>
        <v>0611893453050</v>
      </c>
      <c r="B2611" t="str">
        <f>"CA0749"</f>
        <v>CA0749</v>
      </c>
      <c r="C2611" t="s">
        <v>2546</v>
      </c>
    </row>
    <row r="2612" spans="1:3" x14ac:dyDescent="0.25">
      <c r="A2612" t="str">
        <f>"0611916448100"</f>
        <v>0611916448100</v>
      </c>
      <c r="B2612" t="str">
        <f>"LY5755"</f>
        <v>LY5755</v>
      </c>
      <c r="C2612" t="s">
        <v>13961</v>
      </c>
    </row>
    <row r="2613" spans="1:3" x14ac:dyDescent="0.25">
      <c r="A2613" t="str">
        <f>"0611916443050"</f>
        <v>0611916443050</v>
      </c>
      <c r="B2613" t="str">
        <f>"CA0775"</f>
        <v>CA0775</v>
      </c>
      <c r="C2613" t="s">
        <v>13805</v>
      </c>
    </row>
    <row r="2614" spans="1:3" x14ac:dyDescent="0.25">
      <c r="A2614" t="str">
        <f>"0611856870100"</f>
        <v>0611856870100</v>
      </c>
      <c r="B2614" t="str">
        <f>"LY5734"</f>
        <v>LY5734</v>
      </c>
      <c r="C2614" t="s">
        <v>2547</v>
      </c>
    </row>
    <row r="2615" spans="1:3" x14ac:dyDescent="0.25">
      <c r="A2615" t="str">
        <f>"0611893454050"</f>
        <v>0611893454050</v>
      </c>
      <c r="B2615" t="str">
        <f>"CA0750"</f>
        <v>CA0750</v>
      </c>
      <c r="C2615" t="s">
        <v>2548</v>
      </c>
    </row>
    <row r="2616" spans="1:3" x14ac:dyDescent="0.25">
      <c r="A2616" t="str">
        <f>"0611861155050"</f>
        <v>0611861155050</v>
      </c>
      <c r="B2616" t="str">
        <f>"CE1072"</f>
        <v>CE1072</v>
      </c>
      <c r="C2616" t="s">
        <v>13806</v>
      </c>
    </row>
    <row r="2617" spans="1:3" x14ac:dyDescent="0.25">
      <c r="A2617" t="str">
        <f>"0611861156050"</f>
        <v>0611861156050</v>
      </c>
      <c r="B2617" t="str">
        <f>"CR4562"</f>
        <v>CR4562</v>
      </c>
      <c r="C2617" t="s">
        <v>2549</v>
      </c>
    </row>
    <row r="2618" spans="1:3" x14ac:dyDescent="0.25">
      <c r="A2618" t="str">
        <f>"0611856871100"</f>
        <v>0611856871100</v>
      </c>
      <c r="B2618" t="str">
        <f>"LY5735"</f>
        <v>LY5735</v>
      </c>
      <c r="C2618" t="s">
        <v>2550</v>
      </c>
    </row>
    <row r="2619" spans="1:3" x14ac:dyDescent="0.25">
      <c r="A2619" t="str">
        <f>"0611893455050"</f>
        <v>0611893455050</v>
      </c>
      <c r="B2619" t="str">
        <f>"CA0751"</f>
        <v>CA0751</v>
      </c>
      <c r="C2619" t="s">
        <v>2551</v>
      </c>
    </row>
    <row r="2620" spans="1:3" x14ac:dyDescent="0.25">
      <c r="A2620" t="str">
        <f>"0611861157050"</f>
        <v>0611861157050</v>
      </c>
      <c r="B2620" t="str">
        <f>"CR4563"</f>
        <v>CR4563</v>
      </c>
      <c r="C2620" t="s">
        <v>2552</v>
      </c>
    </row>
    <row r="2621" spans="1:3" x14ac:dyDescent="0.25">
      <c r="A2621" t="str">
        <f>"0611856872100"</f>
        <v>0611856872100</v>
      </c>
      <c r="B2621" t="str">
        <f>"LY5736"</f>
        <v>LY5736</v>
      </c>
      <c r="C2621" t="s">
        <v>2553</v>
      </c>
    </row>
    <row r="2622" spans="1:3" x14ac:dyDescent="0.25">
      <c r="A2622" t="str">
        <f>"0611893456050"</f>
        <v>0611893456050</v>
      </c>
      <c r="B2622" t="str">
        <f>"CA0752"</f>
        <v>CA0752</v>
      </c>
      <c r="C2622" t="s">
        <v>2554</v>
      </c>
    </row>
    <row r="2623" spans="1:3" x14ac:dyDescent="0.25">
      <c r="A2623" t="str">
        <f>"0611861158050"</f>
        <v>0611861158050</v>
      </c>
      <c r="B2623" t="str">
        <f>"CR4564"</f>
        <v>CR4564</v>
      </c>
      <c r="C2623" t="s">
        <v>2555</v>
      </c>
    </row>
    <row r="2624" spans="1:3" x14ac:dyDescent="0.25">
      <c r="A2624" t="str">
        <f>"0611893457050"</f>
        <v>0611893457050</v>
      </c>
      <c r="B2624" t="str">
        <f>"CA0616"</f>
        <v>CA0616</v>
      </c>
      <c r="C2624" t="s">
        <v>2556</v>
      </c>
    </row>
    <row r="2625" spans="1:3" x14ac:dyDescent="0.25">
      <c r="A2625" t="str">
        <f>"0611833002100"</f>
        <v>0611833002100</v>
      </c>
      <c r="B2625" t="str">
        <f>"LY5689"</f>
        <v>LY5689</v>
      </c>
      <c r="C2625" t="s">
        <v>2557</v>
      </c>
    </row>
    <row r="2626" spans="1:3" x14ac:dyDescent="0.25">
      <c r="A2626" t="str">
        <f>"0611893458050"</f>
        <v>0611893458050</v>
      </c>
      <c r="B2626" t="str">
        <f>"CA0617"</f>
        <v>CA0617</v>
      </c>
      <c r="C2626" t="s">
        <v>2558</v>
      </c>
    </row>
    <row r="2627" spans="1:3" x14ac:dyDescent="0.25">
      <c r="A2627" t="str">
        <f>"0611833003100"</f>
        <v>0611833003100</v>
      </c>
      <c r="B2627" t="str">
        <f>"LY0012"</f>
        <v>LY0012</v>
      </c>
      <c r="C2627" t="s">
        <v>2559</v>
      </c>
    </row>
    <row r="2628" spans="1:3" x14ac:dyDescent="0.25">
      <c r="A2628" t="str">
        <f>"0611893459050"</f>
        <v>0611893459050</v>
      </c>
      <c r="B2628" t="str">
        <f>"CA0716"</f>
        <v>CA0716</v>
      </c>
      <c r="C2628" t="s">
        <v>2560</v>
      </c>
    </row>
    <row r="2629" spans="1:3" x14ac:dyDescent="0.25">
      <c r="A2629" t="str">
        <f>"0611833004100"</f>
        <v>0611833004100</v>
      </c>
      <c r="B2629" t="str">
        <f>"LY5718"</f>
        <v>LY5718</v>
      </c>
      <c r="C2629" t="s">
        <v>2561</v>
      </c>
    </row>
    <row r="2630" spans="1:3" x14ac:dyDescent="0.25">
      <c r="A2630" t="str">
        <f>"0611893460050"</f>
        <v>0611893460050</v>
      </c>
      <c r="B2630" t="str">
        <f>"CA0618"</f>
        <v>CA0618</v>
      </c>
      <c r="C2630" t="s">
        <v>2562</v>
      </c>
    </row>
    <row r="2631" spans="1:3" x14ac:dyDescent="0.25">
      <c r="A2631" t="str">
        <f>"0611861159050"</f>
        <v>0611861159050</v>
      </c>
      <c r="B2631" t="str">
        <f>"CR4565"</f>
        <v>CR4565</v>
      </c>
      <c r="C2631" t="s">
        <v>2563</v>
      </c>
    </row>
    <row r="2632" spans="1:3" x14ac:dyDescent="0.25">
      <c r="A2632" t="str">
        <f>"0611893461050"</f>
        <v>0611893461050</v>
      </c>
      <c r="B2632" t="str">
        <f>"CA0620"</f>
        <v>CA0620</v>
      </c>
      <c r="C2632" t="s">
        <v>2564</v>
      </c>
    </row>
    <row r="2633" spans="1:3" x14ac:dyDescent="0.25">
      <c r="A2633" t="str">
        <f>"0611861160050"</f>
        <v>0611861160050</v>
      </c>
      <c r="B2633" t="str">
        <f>"CR4566"</f>
        <v>CR4566</v>
      </c>
      <c r="C2633" t="s">
        <v>2565</v>
      </c>
    </row>
    <row r="2634" spans="1:3" x14ac:dyDescent="0.25">
      <c r="A2634" t="str">
        <f>"0611861161050"</f>
        <v>0611861161050</v>
      </c>
      <c r="B2634" t="str">
        <f>"CR4567"</f>
        <v>CR4567</v>
      </c>
      <c r="C2634" t="s">
        <v>2566</v>
      </c>
    </row>
    <row r="2635" spans="1:3" x14ac:dyDescent="0.25">
      <c r="A2635" t="str">
        <f>"0611893462050"</f>
        <v>0611893462050</v>
      </c>
      <c r="B2635" t="str">
        <f>"CA0623"</f>
        <v>CA0623</v>
      </c>
      <c r="C2635" t="s">
        <v>2567</v>
      </c>
    </row>
    <row r="2636" spans="1:3" x14ac:dyDescent="0.25">
      <c r="A2636" t="str">
        <f>"0611861162050"</f>
        <v>0611861162050</v>
      </c>
      <c r="B2636" t="str">
        <f>"CR4568"</f>
        <v>CR4568</v>
      </c>
      <c r="C2636" t="s">
        <v>2568</v>
      </c>
    </row>
    <row r="2637" spans="1:3" x14ac:dyDescent="0.25">
      <c r="A2637" t="str">
        <f>"0611861163050"</f>
        <v>0611861163050</v>
      </c>
      <c r="B2637" t="str">
        <f>"CR4569"</f>
        <v>CR4569</v>
      </c>
      <c r="C2637" t="s">
        <v>2569</v>
      </c>
    </row>
    <row r="2638" spans="1:3" x14ac:dyDescent="0.25">
      <c r="A2638" t="str">
        <f>"0611861164050"</f>
        <v>0611861164050</v>
      </c>
      <c r="B2638" t="str">
        <f>"CR4570"</f>
        <v>CR4570</v>
      </c>
      <c r="C2638" t="s">
        <v>2570</v>
      </c>
    </row>
    <row r="2639" spans="1:3" x14ac:dyDescent="0.25">
      <c r="A2639" t="str">
        <f>"0611884091100"</f>
        <v>0611884091100</v>
      </c>
      <c r="B2639" t="str">
        <f>"LY5742"</f>
        <v>LY5742</v>
      </c>
      <c r="C2639" t="s">
        <v>2572</v>
      </c>
    </row>
    <row r="2640" spans="1:3" x14ac:dyDescent="0.25">
      <c r="A2640" t="str">
        <f>"0611893463050"</f>
        <v>0611893463050</v>
      </c>
      <c r="B2640" t="str">
        <f>"CA0762"</f>
        <v>CA0762</v>
      </c>
      <c r="C2640" t="s">
        <v>2571</v>
      </c>
    </row>
    <row r="2641" spans="1:3" x14ac:dyDescent="0.25">
      <c r="A2641" t="str">
        <f>"0611833005100"</f>
        <v>0611833005100</v>
      </c>
      <c r="B2641" t="str">
        <f>"LY5701"</f>
        <v>LY5701</v>
      </c>
      <c r="C2641" t="s">
        <v>2573</v>
      </c>
    </row>
    <row r="2642" spans="1:3" x14ac:dyDescent="0.25">
      <c r="A2642" t="str">
        <f>"0611893464050"</f>
        <v>0611893464050</v>
      </c>
      <c r="B2642" t="str">
        <f>"CA0628"</f>
        <v>CA0628</v>
      </c>
      <c r="C2642" t="s">
        <v>2574</v>
      </c>
    </row>
    <row r="2643" spans="1:3" x14ac:dyDescent="0.25">
      <c r="A2643" t="str">
        <f>"0611833006100"</f>
        <v>0611833006100</v>
      </c>
      <c r="B2643" t="str">
        <f>"LY5702"</f>
        <v>LY5702</v>
      </c>
      <c r="C2643" t="s">
        <v>2575</v>
      </c>
    </row>
    <row r="2644" spans="1:3" x14ac:dyDescent="0.25">
      <c r="A2644" t="str">
        <f>"0611893465050"</f>
        <v>0611893465050</v>
      </c>
      <c r="B2644" t="str">
        <f>"CA0629"</f>
        <v>CA0629</v>
      </c>
      <c r="C2644" t="s">
        <v>2576</v>
      </c>
    </row>
    <row r="2645" spans="1:3" x14ac:dyDescent="0.25">
      <c r="A2645" t="str">
        <f>"0611833007100"</f>
        <v>0611833007100</v>
      </c>
      <c r="B2645" t="str">
        <f>"LY5703"</f>
        <v>LY5703</v>
      </c>
      <c r="C2645" t="s">
        <v>2577</v>
      </c>
    </row>
    <row r="2646" spans="1:3" x14ac:dyDescent="0.25">
      <c r="A2646" t="str">
        <f>"0611893466050"</f>
        <v>0611893466050</v>
      </c>
      <c r="B2646" t="str">
        <f>"CA0630"</f>
        <v>CA0630</v>
      </c>
      <c r="C2646" t="s">
        <v>2578</v>
      </c>
    </row>
    <row r="2647" spans="1:3" x14ac:dyDescent="0.25">
      <c r="A2647" t="str">
        <f>"0611893467050"</f>
        <v>0611893467050</v>
      </c>
      <c r="B2647" t="str">
        <f>"CA0631"</f>
        <v>CA0631</v>
      </c>
      <c r="C2647" t="s">
        <v>2579</v>
      </c>
    </row>
    <row r="2648" spans="1:3" x14ac:dyDescent="0.25">
      <c r="A2648" t="str">
        <f>"0611833008100"</f>
        <v>0611833008100</v>
      </c>
      <c r="B2648" t="str">
        <f>"LY5668"</f>
        <v>LY5668</v>
      </c>
      <c r="C2648" t="s">
        <v>2580</v>
      </c>
    </row>
    <row r="2649" spans="1:3" x14ac:dyDescent="0.25">
      <c r="A2649" t="str">
        <f>"0611893468050"</f>
        <v>0611893468050</v>
      </c>
      <c r="B2649" t="str">
        <f>"CA0633"</f>
        <v>CA0633</v>
      </c>
      <c r="C2649" t="s">
        <v>2581</v>
      </c>
    </row>
    <row r="2650" spans="1:3" x14ac:dyDescent="0.25">
      <c r="A2650" t="str">
        <f>"0611833009100"</f>
        <v>0611833009100</v>
      </c>
      <c r="B2650" t="str">
        <f>"LY5642"</f>
        <v>LY5642</v>
      </c>
      <c r="C2650" t="s">
        <v>2582</v>
      </c>
    </row>
    <row r="2651" spans="1:3" x14ac:dyDescent="0.25">
      <c r="A2651" t="str">
        <f>"0611893469050"</f>
        <v>0611893469050</v>
      </c>
      <c r="B2651" t="str">
        <f>"CA0634"</f>
        <v>CA0634</v>
      </c>
      <c r="C2651" t="s">
        <v>2583</v>
      </c>
    </row>
    <row r="2652" spans="1:3" x14ac:dyDescent="0.25">
      <c r="A2652" t="str">
        <f>"0611861165050"</f>
        <v>0611861165050</v>
      </c>
      <c r="B2652" t="str">
        <f>"CR4571"</f>
        <v>CR4571</v>
      </c>
      <c r="C2652" t="s">
        <v>2584</v>
      </c>
    </row>
    <row r="2653" spans="1:3" x14ac:dyDescent="0.25">
      <c r="A2653" t="str">
        <f>"0611861166050"</f>
        <v>0611861166050</v>
      </c>
      <c r="B2653" t="str">
        <f>"CR2689"</f>
        <v>CR2689</v>
      </c>
      <c r="C2653" t="s">
        <v>2585</v>
      </c>
    </row>
    <row r="2654" spans="1:3" x14ac:dyDescent="0.25">
      <c r="A2654" t="str">
        <f>"0611861167050"</f>
        <v>0611861167050</v>
      </c>
      <c r="B2654" t="str">
        <f>"CR4572"</f>
        <v>CR4572</v>
      </c>
      <c r="C2654" t="s">
        <v>2586</v>
      </c>
    </row>
    <row r="2655" spans="1:3" x14ac:dyDescent="0.25">
      <c r="A2655" t="str">
        <f>"0611833010100"</f>
        <v>0611833010100</v>
      </c>
      <c r="B2655" t="str">
        <f>"LY5616"</f>
        <v>LY5616</v>
      </c>
      <c r="C2655" t="s">
        <v>2587</v>
      </c>
    </row>
    <row r="2656" spans="1:3" x14ac:dyDescent="0.25">
      <c r="A2656" t="str">
        <f>"0611893470050"</f>
        <v>0611893470050</v>
      </c>
      <c r="B2656" t="str">
        <f>"CA0635"</f>
        <v>CA0635</v>
      </c>
      <c r="C2656" t="s">
        <v>2588</v>
      </c>
    </row>
    <row r="2657" spans="1:3" x14ac:dyDescent="0.25">
      <c r="A2657" t="str">
        <f>"0611833011100"</f>
        <v>0611833011100</v>
      </c>
      <c r="B2657" t="str">
        <f>"LY0005"</f>
        <v>LY0005</v>
      </c>
      <c r="C2657" t="s">
        <v>2589</v>
      </c>
    </row>
    <row r="2658" spans="1:3" x14ac:dyDescent="0.25">
      <c r="A2658" t="str">
        <f>"0611893471050"</f>
        <v>0611893471050</v>
      </c>
      <c r="B2658" t="str">
        <f>"CA0636"</f>
        <v>CA0636</v>
      </c>
      <c r="C2658" t="s">
        <v>2590</v>
      </c>
    </row>
    <row r="2659" spans="1:3" x14ac:dyDescent="0.25">
      <c r="A2659" t="str">
        <f>"0611833012100"</f>
        <v>0611833012100</v>
      </c>
      <c r="B2659" t="str">
        <f>"LY5654"</f>
        <v>LY5654</v>
      </c>
      <c r="C2659" t="s">
        <v>2591</v>
      </c>
    </row>
    <row r="2660" spans="1:3" x14ac:dyDescent="0.25">
      <c r="A2660" t="str">
        <f>"0611893472050"</f>
        <v>0611893472050</v>
      </c>
      <c r="B2660" t="str">
        <f>"CA0637"</f>
        <v>CA0637</v>
      </c>
      <c r="C2660" t="s">
        <v>2592</v>
      </c>
    </row>
    <row r="2661" spans="1:3" x14ac:dyDescent="0.25">
      <c r="A2661" t="str">
        <f>"0611893473050"</f>
        <v>0611893473050</v>
      </c>
      <c r="B2661" t="str">
        <f>"CA0638"</f>
        <v>CA0638</v>
      </c>
      <c r="C2661" t="s">
        <v>2593</v>
      </c>
    </row>
    <row r="2662" spans="1:3" x14ac:dyDescent="0.25">
      <c r="A2662" t="str">
        <f>"0611893474050"</f>
        <v>0611893474050</v>
      </c>
      <c r="B2662" t="str">
        <f>"CA0639"</f>
        <v>CA0639</v>
      </c>
      <c r="C2662" t="s">
        <v>2594</v>
      </c>
    </row>
    <row r="2663" spans="1:3" x14ac:dyDescent="0.25">
      <c r="A2663" t="str">
        <f>"0611893475050"</f>
        <v>0611893475050</v>
      </c>
      <c r="B2663" t="str">
        <f>"CA0721"</f>
        <v>CA0721</v>
      </c>
      <c r="C2663" t="s">
        <v>2595</v>
      </c>
    </row>
    <row r="2664" spans="1:3" x14ac:dyDescent="0.25">
      <c r="A2664" t="str">
        <f>"0611861168050"</f>
        <v>0611861168050</v>
      </c>
      <c r="B2664" t="str">
        <f>"CR4884"</f>
        <v>CR4884</v>
      </c>
      <c r="C2664" t="s">
        <v>2596</v>
      </c>
    </row>
    <row r="2665" spans="1:3" x14ac:dyDescent="0.25">
      <c r="A2665" t="str">
        <f>"0611833013100"</f>
        <v>0611833013100</v>
      </c>
      <c r="B2665" t="str">
        <f>"LY5632"</f>
        <v>LY5632</v>
      </c>
      <c r="C2665" t="s">
        <v>2597</v>
      </c>
    </row>
    <row r="2666" spans="1:3" x14ac:dyDescent="0.25">
      <c r="A2666" t="str">
        <f>"0611893476050"</f>
        <v>0611893476050</v>
      </c>
      <c r="B2666" t="str">
        <f>"CA0643"</f>
        <v>CA0643</v>
      </c>
      <c r="C2666" t="s">
        <v>2598</v>
      </c>
    </row>
    <row r="2667" spans="1:3" x14ac:dyDescent="0.25">
      <c r="A2667" t="str">
        <f>"0611833014100"</f>
        <v>0611833014100</v>
      </c>
      <c r="B2667" t="str">
        <f>"MB9908"</f>
        <v>MB9908</v>
      </c>
      <c r="C2667" t="s">
        <v>2497</v>
      </c>
    </row>
    <row r="2668" spans="1:3" x14ac:dyDescent="0.25">
      <c r="A2668" t="str">
        <f>"0611833015100"</f>
        <v>0611833015100</v>
      </c>
      <c r="B2668" t="str">
        <f>"LH2003"</f>
        <v>LH2003</v>
      </c>
      <c r="C2668" t="s">
        <v>2498</v>
      </c>
    </row>
    <row r="2669" spans="1:3" x14ac:dyDescent="0.25">
      <c r="A2669" t="str">
        <f>"0611893477050"</f>
        <v>0611893477050</v>
      </c>
      <c r="B2669" t="str">
        <f>"CA0769"</f>
        <v>CA0769</v>
      </c>
      <c r="C2669" t="s">
        <v>2599</v>
      </c>
    </row>
    <row r="2670" spans="1:3" x14ac:dyDescent="0.25">
      <c r="A2670" t="str">
        <f>"0611893478050"</f>
        <v>0611893478050</v>
      </c>
      <c r="B2670" t="str">
        <f>"CA0647"</f>
        <v>CA0647</v>
      </c>
      <c r="C2670" t="s">
        <v>2600</v>
      </c>
    </row>
    <row r="2671" spans="1:3" x14ac:dyDescent="0.25">
      <c r="A2671" t="str">
        <f>"0611833016100"</f>
        <v>0611833016100</v>
      </c>
      <c r="B2671" t="str">
        <f>"LY0006"</f>
        <v>LY0006</v>
      </c>
      <c r="C2671" t="s">
        <v>2601</v>
      </c>
    </row>
    <row r="2672" spans="1:3" x14ac:dyDescent="0.25">
      <c r="A2672" t="str">
        <f>"0611893479050"</f>
        <v>0611893479050</v>
      </c>
      <c r="B2672" t="str">
        <f>"CA0649"</f>
        <v>CA0649</v>
      </c>
      <c r="C2672" t="s">
        <v>2602</v>
      </c>
    </row>
    <row r="2673" spans="1:3" x14ac:dyDescent="0.25">
      <c r="A2673" t="str">
        <f>"0611833017100"</f>
        <v>0611833017100</v>
      </c>
      <c r="B2673" t="str">
        <f>"LY5719"</f>
        <v>LY5719</v>
      </c>
      <c r="C2673" t="s">
        <v>2603</v>
      </c>
    </row>
    <row r="2674" spans="1:3" x14ac:dyDescent="0.25">
      <c r="A2674" t="str">
        <f>"0611893480050"</f>
        <v>0611893480050</v>
      </c>
      <c r="B2674" t="str">
        <f>"CA0650"</f>
        <v>CA0650</v>
      </c>
      <c r="C2674" t="s">
        <v>2604</v>
      </c>
    </row>
    <row r="2675" spans="1:3" x14ac:dyDescent="0.25">
      <c r="A2675" t="str">
        <f>"0611833018100"</f>
        <v>0611833018100</v>
      </c>
      <c r="B2675" t="str">
        <f>"LY5720"</f>
        <v>LY5720</v>
      </c>
      <c r="C2675" t="s">
        <v>2605</v>
      </c>
    </row>
    <row r="2676" spans="1:3" x14ac:dyDescent="0.25">
      <c r="A2676" t="str">
        <f>"0611893481050"</f>
        <v>0611893481050</v>
      </c>
      <c r="B2676" t="str">
        <f>"CA0651"</f>
        <v>CA0651</v>
      </c>
      <c r="C2676" t="s">
        <v>2606</v>
      </c>
    </row>
    <row r="2677" spans="1:3" x14ac:dyDescent="0.25">
      <c r="A2677" t="str">
        <f>"0611833019100"</f>
        <v>0611833019100</v>
      </c>
      <c r="B2677" t="str">
        <f>"LY0024"</f>
        <v>LY0024</v>
      </c>
      <c r="C2677" t="s">
        <v>2607</v>
      </c>
    </row>
    <row r="2678" spans="1:3" x14ac:dyDescent="0.25">
      <c r="A2678" t="str">
        <f>"0611893482050"</f>
        <v>0611893482050</v>
      </c>
      <c r="B2678" t="str">
        <f>"CA0743"</f>
        <v>CA0743</v>
      </c>
      <c r="C2678" t="s">
        <v>2608</v>
      </c>
    </row>
    <row r="2679" spans="1:3" x14ac:dyDescent="0.25">
      <c r="A2679" t="str">
        <f>"0611833020100"</f>
        <v>0611833020100</v>
      </c>
      <c r="B2679" t="str">
        <f>"LY0007"</f>
        <v>LY0007</v>
      </c>
      <c r="C2679" t="s">
        <v>2610</v>
      </c>
    </row>
    <row r="2680" spans="1:3" x14ac:dyDescent="0.25">
      <c r="A2680" t="str">
        <f>"0611893483050"</f>
        <v>0611893483050</v>
      </c>
      <c r="B2680" t="str">
        <f>"CA0653"</f>
        <v>CA0653</v>
      </c>
      <c r="C2680" t="s">
        <v>2609</v>
      </c>
    </row>
    <row r="2681" spans="1:3" x14ac:dyDescent="0.25">
      <c r="A2681" t="str">
        <f>"0611833021100"</f>
        <v>0611833021100</v>
      </c>
      <c r="B2681" t="str">
        <f>"LY5721"</f>
        <v>LY5721</v>
      </c>
      <c r="C2681" t="s">
        <v>2611</v>
      </c>
    </row>
    <row r="2682" spans="1:3" x14ac:dyDescent="0.25">
      <c r="A2682" t="str">
        <f>"0611893484050"</f>
        <v>0611893484050</v>
      </c>
      <c r="B2682" t="str">
        <f>"CA0652"</f>
        <v>CA0652</v>
      </c>
      <c r="C2682" t="s">
        <v>2612</v>
      </c>
    </row>
    <row r="2683" spans="1:3" x14ac:dyDescent="0.25">
      <c r="A2683" t="str">
        <f>"0611893485050"</f>
        <v>0611893485050</v>
      </c>
      <c r="B2683" t="str">
        <f>"CA0770"</f>
        <v>CA0770</v>
      </c>
      <c r="C2683" t="s">
        <v>2613</v>
      </c>
    </row>
    <row r="2684" spans="1:3" x14ac:dyDescent="0.25">
      <c r="A2684" t="str">
        <f>"0611893486050"</f>
        <v>0611893486050</v>
      </c>
      <c r="B2684" t="str">
        <f>"CA0657"</f>
        <v>CA0657</v>
      </c>
      <c r="C2684" t="s">
        <v>2614</v>
      </c>
    </row>
    <row r="2685" spans="1:3" x14ac:dyDescent="0.25">
      <c r="A2685" t="str">
        <f>"0611893487050"</f>
        <v>0611893487050</v>
      </c>
      <c r="B2685" t="str">
        <f>"CA0658"</f>
        <v>CA0658</v>
      </c>
      <c r="C2685" t="s">
        <v>2615</v>
      </c>
    </row>
    <row r="2686" spans="1:3" x14ac:dyDescent="0.25">
      <c r="A2686" t="str">
        <f>"0611833023100"</f>
        <v>0611833023100</v>
      </c>
      <c r="B2686" t="str">
        <f>"LB1850"</f>
        <v>LB1850</v>
      </c>
      <c r="C2686" t="s">
        <v>2616</v>
      </c>
    </row>
    <row r="2687" spans="1:3" x14ac:dyDescent="0.25">
      <c r="A2687" t="str">
        <f>"0611884092100"</f>
        <v>0611884092100</v>
      </c>
      <c r="B2687" t="str">
        <f>"LY5743"</f>
        <v>LY5743</v>
      </c>
      <c r="C2687" t="s">
        <v>2617</v>
      </c>
    </row>
    <row r="2688" spans="1:3" x14ac:dyDescent="0.25">
      <c r="A2688" t="str">
        <f>"0611893488050"</f>
        <v>0611893488050</v>
      </c>
      <c r="B2688" t="str">
        <f>"CA0763"</f>
        <v>CA0763</v>
      </c>
      <c r="C2688" t="s">
        <v>2618</v>
      </c>
    </row>
    <row r="2689" spans="1:3" x14ac:dyDescent="0.25">
      <c r="A2689" t="str">
        <f>"0611884093100"</f>
        <v>0611884093100</v>
      </c>
      <c r="B2689" t="str">
        <f>"LY5744"</f>
        <v>LY5744</v>
      </c>
      <c r="C2689" t="s">
        <v>2619</v>
      </c>
    </row>
    <row r="2690" spans="1:3" x14ac:dyDescent="0.25">
      <c r="A2690" t="str">
        <f>"0611893489050"</f>
        <v>0611893489050</v>
      </c>
      <c r="B2690" t="str">
        <f>"CA0764"</f>
        <v>CA0764</v>
      </c>
      <c r="C2690" t="s">
        <v>2620</v>
      </c>
    </row>
    <row r="2691" spans="1:3" x14ac:dyDescent="0.25">
      <c r="A2691" t="str">
        <f>"0611884094100"</f>
        <v>0611884094100</v>
      </c>
      <c r="B2691" t="str">
        <f>"LY5745"</f>
        <v>LY5745</v>
      </c>
      <c r="C2691" t="s">
        <v>2621</v>
      </c>
    </row>
    <row r="2692" spans="1:3" x14ac:dyDescent="0.25">
      <c r="A2692" t="str">
        <f>"0611893490050"</f>
        <v>0611893490050</v>
      </c>
      <c r="B2692" t="str">
        <f>"CA0765"</f>
        <v>CA0765</v>
      </c>
      <c r="C2692" t="s">
        <v>2622</v>
      </c>
    </row>
    <row r="2693" spans="1:3" x14ac:dyDescent="0.25">
      <c r="A2693" t="str">
        <f>"0611884095100"</f>
        <v>0611884095100</v>
      </c>
      <c r="B2693" t="str">
        <f>"LY5746"</f>
        <v>LY5746</v>
      </c>
      <c r="C2693" t="s">
        <v>2623</v>
      </c>
    </row>
    <row r="2694" spans="1:3" x14ac:dyDescent="0.25">
      <c r="A2694" t="str">
        <f>"0611893491050"</f>
        <v>0611893491050</v>
      </c>
      <c r="B2694" t="str">
        <f>"CA0766"</f>
        <v>CA0766</v>
      </c>
      <c r="C2694" t="s">
        <v>2624</v>
      </c>
    </row>
    <row r="2695" spans="1:3" x14ac:dyDescent="0.25">
      <c r="A2695" t="str">
        <f>"0611861169050"</f>
        <v>0611861169050</v>
      </c>
      <c r="B2695" t="str">
        <f>"CR5058"</f>
        <v>CR5058</v>
      </c>
      <c r="C2695" t="s">
        <v>2625</v>
      </c>
    </row>
    <row r="2696" spans="1:3" x14ac:dyDescent="0.25">
      <c r="A2696" t="str">
        <f>"0611861170050"</f>
        <v>0611861170050</v>
      </c>
      <c r="B2696" t="str">
        <f>"CR4573"</f>
        <v>CR4573</v>
      </c>
      <c r="C2696" t="s">
        <v>2626</v>
      </c>
    </row>
    <row r="2697" spans="1:3" x14ac:dyDescent="0.25">
      <c r="A2697" t="str">
        <f>"0611833024100"</f>
        <v>0611833024100</v>
      </c>
      <c r="B2697" t="str">
        <f>"LY5722"</f>
        <v>LY5722</v>
      </c>
      <c r="C2697" t="s">
        <v>2627</v>
      </c>
    </row>
    <row r="2698" spans="1:3" x14ac:dyDescent="0.25">
      <c r="A2698" t="str">
        <f>"0611893492050"</f>
        <v>0611893492050</v>
      </c>
      <c r="B2698" t="str">
        <f>"CA0660"</f>
        <v>CA0660</v>
      </c>
      <c r="C2698" t="s">
        <v>2628</v>
      </c>
    </row>
    <row r="2699" spans="1:3" x14ac:dyDescent="0.25">
      <c r="A2699" t="str">
        <f>"0611833025100"</f>
        <v>0611833025100</v>
      </c>
      <c r="B2699" t="str">
        <f>"LY5704"</f>
        <v>LY5704</v>
      </c>
      <c r="C2699" t="s">
        <v>2629</v>
      </c>
    </row>
    <row r="2700" spans="1:3" x14ac:dyDescent="0.25">
      <c r="A2700" t="str">
        <f>"0611893493050"</f>
        <v>0611893493050</v>
      </c>
      <c r="B2700" t="str">
        <f>"CA0661"</f>
        <v>CA0661</v>
      </c>
      <c r="C2700" t="s">
        <v>2630</v>
      </c>
    </row>
    <row r="2701" spans="1:3" x14ac:dyDescent="0.25">
      <c r="A2701" t="str">
        <f>"0611893494050"</f>
        <v>0611893494050</v>
      </c>
      <c r="B2701" t="str">
        <f>"CA0771"</f>
        <v>CA0771</v>
      </c>
      <c r="C2701" t="s">
        <v>2631</v>
      </c>
    </row>
    <row r="2702" spans="1:3" x14ac:dyDescent="0.25">
      <c r="A2702" t="str">
        <f>"0611893495050"</f>
        <v>0611893495050</v>
      </c>
      <c r="B2702" t="str">
        <f>"CA0662"</f>
        <v>CA0662</v>
      </c>
      <c r="C2702" t="s">
        <v>2632</v>
      </c>
    </row>
    <row r="2703" spans="1:3" x14ac:dyDescent="0.25">
      <c r="A2703" t="str">
        <f>"0611893498050"</f>
        <v>0611893498050</v>
      </c>
      <c r="B2703" t="str">
        <f>"CA0665"</f>
        <v>CA0665</v>
      </c>
      <c r="C2703" t="s">
        <v>2636</v>
      </c>
    </row>
    <row r="2704" spans="1:3" x14ac:dyDescent="0.25">
      <c r="A2704" t="str">
        <f>"0611893496050"</f>
        <v>0611893496050</v>
      </c>
      <c r="B2704" t="str">
        <f>"CR5324"</f>
        <v>CR5324</v>
      </c>
      <c r="C2704" t="s">
        <v>2633</v>
      </c>
    </row>
    <row r="2705" spans="1:3" x14ac:dyDescent="0.25">
      <c r="A2705" t="str">
        <f>"0611833026100"</f>
        <v>0611833026100</v>
      </c>
      <c r="B2705" t="str">
        <f>"LH2385"</f>
        <v>LH2385</v>
      </c>
      <c r="C2705" t="s">
        <v>2634</v>
      </c>
    </row>
    <row r="2706" spans="1:3" x14ac:dyDescent="0.25">
      <c r="A2706" t="str">
        <f>"0611893497050"</f>
        <v>0611893497050</v>
      </c>
      <c r="B2706" t="str">
        <f>"CA0664"</f>
        <v>CA0664</v>
      </c>
      <c r="C2706" t="s">
        <v>2635</v>
      </c>
    </row>
    <row r="2707" spans="1:3" x14ac:dyDescent="0.25">
      <c r="A2707" t="str">
        <f>"0611833027100"</f>
        <v>0611833027100</v>
      </c>
      <c r="B2707" t="str">
        <f>"LG1200"</f>
        <v>LG1200</v>
      </c>
      <c r="C2707" t="s">
        <v>2637</v>
      </c>
    </row>
    <row r="2708" spans="1:3" x14ac:dyDescent="0.25">
      <c r="A2708" t="str">
        <f>"0611861171050"</f>
        <v>0611861171050</v>
      </c>
      <c r="B2708" t="str">
        <f>"CR4574"</f>
        <v>CR4574</v>
      </c>
      <c r="C2708" t="s">
        <v>2638</v>
      </c>
    </row>
    <row r="2709" spans="1:3" x14ac:dyDescent="0.25">
      <c r="A2709" t="str">
        <f>"0611893499050"</f>
        <v>0611893499050</v>
      </c>
      <c r="B2709" t="str">
        <f>"CA0666"</f>
        <v>CA0666</v>
      </c>
      <c r="C2709" t="s">
        <v>2639</v>
      </c>
    </row>
    <row r="2710" spans="1:3" x14ac:dyDescent="0.25">
      <c r="A2710" t="str">
        <f>"0611861172050"</f>
        <v>0611861172050</v>
      </c>
      <c r="B2710" t="str">
        <f>"CR4575"</f>
        <v>CR4575</v>
      </c>
      <c r="C2710" t="s">
        <v>2640</v>
      </c>
    </row>
    <row r="2711" spans="1:3" x14ac:dyDescent="0.25">
      <c r="A2711" t="str">
        <f>"0611893500050"</f>
        <v>0611893500050</v>
      </c>
      <c r="B2711" t="str">
        <f>"CA0667"</f>
        <v>CA0667</v>
      </c>
      <c r="C2711" t="s">
        <v>2641</v>
      </c>
    </row>
    <row r="2712" spans="1:3" x14ac:dyDescent="0.25">
      <c r="A2712" t="str">
        <f>"0611893501050"</f>
        <v>0611893501050</v>
      </c>
      <c r="B2712" t="str">
        <f>"CA0672"</f>
        <v>CA0672</v>
      </c>
      <c r="C2712" t="s">
        <v>2642</v>
      </c>
    </row>
    <row r="2713" spans="1:3" x14ac:dyDescent="0.25">
      <c r="A2713" t="str">
        <f>"0611833028100"</f>
        <v>0611833028100</v>
      </c>
      <c r="B2713" t="str">
        <f>"LH2400"</f>
        <v>LH2400</v>
      </c>
      <c r="C2713" t="s">
        <v>2643</v>
      </c>
    </row>
    <row r="2714" spans="1:3" x14ac:dyDescent="0.25">
      <c r="A2714" t="str">
        <f>"0611861173050"</f>
        <v>0611861173050</v>
      </c>
      <c r="B2714" t="str">
        <f>"CR4576"</f>
        <v>CR4576</v>
      </c>
      <c r="C2714" t="s">
        <v>2644</v>
      </c>
    </row>
    <row r="2715" spans="1:3" x14ac:dyDescent="0.25">
      <c r="A2715" t="str">
        <f>"0611861174100"</f>
        <v>0611861174100</v>
      </c>
      <c r="B2715" t="str">
        <f>"LK4961"</f>
        <v>LK4961</v>
      </c>
      <c r="C2715" t="s">
        <v>2645</v>
      </c>
    </row>
    <row r="2716" spans="1:3" x14ac:dyDescent="0.25">
      <c r="A2716" t="str">
        <f>"0611833030100"</f>
        <v>0611833030100</v>
      </c>
      <c r="B2716" t="str">
        <f>"LH2430"</f>
        <v>LH2430</v>
      </c>
      <c r="C2716" t="s">
        <v>2646</v>
      </c>
    </row>
    <row r="2717" spans="1:3" x14ac:dyDescent="0.25">
      <c r="A2717" t="str">
        <f>"0611861175050"</f>
        <v>0611861175050</v>
      </c>
      <c r="B2717" t="str">
        <f>"CR4577"</f>
        <v>CR4577</v>
      </c>
      <c r="C2717" t="s">
        <v>2647</v>
      </c>
    </row>
    <row r="2718" spans="1:3" x14ac:dyDescent="0.25">
      <c r="A2718" t="str">
        <f>"0611833031100"</f>
        <v>0611833031100</v>
      </c>
      <c r="B2718" t="str">
        <f>"LY5723"</f>
        <v>LY5723</v>
      </c>
      <c r="C2718" t="s">
        <v>2648</v>
      </c>
    </row>
    <row r="2719" spans="1:3" x14ac:dyDescent="0.25">
      <c r="A2719" t="str">
        <f>"0611893502050"</f>
        <v>0611893502050</v>
      </c>
      <c r="B2719" t="str">
        <f>"CA0680"</f>
        <v>CA0680</v>
      </c>
      <c r="C2719" t="s">
        <v>2649</v>
      </c>
    </row>
    <row r="2720" spans="1:3" x14ac:dyDescent="0.25">
      <c r="A2720" t="str">
        <f>"0611833032100"</f>
        <v>0611833032100</v>
      </c>
      <c r="B2720" t="str">
        <f>"LY5724"</f>
        <v>LY5724</v>
      </c>
      <c r="C2720" t="s">
        <v>2650</v>
      </c>
    </row>
    <row r="2721" spans="1:3" x14ac:dyDescent="0.25">
      <c r="A2721" t="str">
        <f>"0611893503050"</f>
        <v>0611893503050</v>
      </c>
      <c r="B2721" t="str">
        <f>"CA0677"</f>
        <v>CA0677</v>
      </c>
      <c r="C2721" t="s">
        <v>2651</v>
      </c>
    </row>
    <row r="2722" spans="1:3" x14ac:dyDescent="0.25">
      <c r="A2722" t="str">
        <f>"0611833033100"</f>
        <v>0611833033100</v>
      </c>
      <c r="B2722" t="str">
        <f>"LY5725"</f>
        <v>LY5725</v>
      </c>
      <c r="C2722" t="s">
        <v>2652</v>
      </c>
    </row>
    <row r="2723" spans="1:3" x14ac:dyDescent="0.25">
      <c r="A2723" t="str">
        <f>"0611893504050"</f>
        <v>0611893504050</v>
      </c>
      <c r="B2723" t="str">
        <f>"CA0678"</f>
        <v>CA0678</v>
      </c>
      <c r="C2723" t="s">
        <v>2653</v>
      </c>
    </row>
    <row r="2724" spans="1:3" x14ac:dyDescent="0.25">
      <c r="A2724" t="str">
        <f>"0611833034100"</f>
        <v>0611833034100</v>
      </c>
      <c r="B2724" t="str">
        <f>"LY5726"</f>
        <v>LY5726</v>
      </c>
      <c r="C2724" t="s">
        <v>2654</v>
      </c>
    </row>
    <row r="2725" spans="1:3" x14ac:dyDescent="0.25">
      <c r="A2725" t="str">
        <f>"0611893505050"</f>
        <v>0611893505050</v>
      </c>
      <c r="B2725" t="str">
        <f>"CA0676"</f>
        <v>CA0676</v>
      </c>
      <c r="C2725" t="s">
        <v>2655</v>
      </c>
    </row>
    <row r="2726" spans="1:3" x14ac:dyDescent="0.25">
      <c r="A2726" t="str">
        <f>"0611833035100"</f>
        <v>0611833035100</v>
      </c>
      <c r="B2726" t="str">
        <f>"LY5727"</f>
        <v>LY5727</v>
      </c>
      <c r="C2726" t="s">
        <v>2656</v>
      </c>
    </row>
    <row r="2727" spans="1:3" x14ac:dyDescent="0.25">
      <c r="A2727" t="str">
        <f>"0611893506050"</f>
        <v>0611893506050</v>
      </c>
      <c r="B2727" t="str">
        <f>"CA0679"</f>
        <v>CA0679</v>
      </c>
      <c r="C2727" t="s">
        <v>2657</v>
      </c>
    </row>
    <row r="2728" spans="1:3" x14ac:dyDescent="0.25">
      <c r="A2728" t="str">
        <f>"0611833036100"</f>
        <v>0611833036100</v>
      </c>
      <c r="B2728" t="str">
        <f>"LY5728"</f>
        <v>LY5728</v>
      </c>
      <c r="C2728" t="s">
        <v>2658</v>
      </c>
    </row>
    <row r="2729" spans="1:3" x14ac:dyDescent="0.25">
      <c r="A2729" t="str">
        <f>"0611893507050"</f>
        <v>0611893507050</v>
      </c>
      <c r="B2729" t="str">
        <f>"CA0675"</f>
        <v>CA0675</v>
      </c>
      <c r="C2729" t="s">
        <v>2659</v>
      </c>
    </row>
    <row r="2730" spans="1:3" x14ac:dyDescent="0.25">
      <c r="A2730" t="str">
        <f>"0611833037100"</f>
        <v>0611833037100</v>
      </c>
      <c r="B2730" t="str">
        <f>"LY0025"</f>
        <v>LY0025</v>
      </c>
      <c r="C2730" t="s">
        <v>2660</v>
      </c>
    </row>
    <row r="2731" spans="1:3" x14ac:dyDescent="0.25">
      <c r="A2731" t="str">
        <f>"0611893508050"</f>
        <v>0611893508050</v>
      </c>
      <c r="B2731" t="str">
        <f>"CA0744"</f>
        <v>CA0744</v>
      </c>
      <c r="C2731" t="s">
        <v>2661</v>
      </c>
    </row>
    <row r="2732" spans="1:3" x14ac:dyDescent="0.25">
      <c r="A2732" t="str">
        <f>"0611893509050"</f>
        <v>0611893509050</v>
      </c>
      <c r="B2732" t="str">
        <f>"CA0683"</f>
        <v>CA0683</v>
      </c>
      <c r="C2732" t="s">
        <v>2662</v>
      </c>
    </row>
    <row r="2733" spans="1:3" x14ac:dyDescent="0.25">
      <c r="A2733" t="str">
        <f>"0611833038100"</f>
        <v>0611833038100</v>
      </c>
      <c r="B2733" t="str">
        <f>"LY0017"</f>
        <v>LY0017</v>
      </c>
      <c r="C2733" t="s">
        <v>2663</v>
      </c>
    </row>
    <row r="2734" spans="1:3" x14ac:dyDescent="0.25">
      <c r="A2734" t="str">
        <f>"0611893510050"</f>
        <v>0611893510050</v>
      </c>
      <c r="B2734" t="str">
        <f>"CA0737"</f>
        <v>CA0737</v>
      </c>
      <c r="C2734" t="s">
        <v>2664</v>
      </c>
    </row>
    <row r="2735" spans="1:3" x14ac:dyDescent="0.25">
      <c r="A2735" t="str">
        <f>"0611893511050"</f>
        <v>0611893511050</v>
      </c>
      <c r="B2735" t="str">
        <f>"CA0686"</f>
        <v>CA0686</v>
      </c>
      <c r="C2735" t="s">
        <v>2665</v>
      </c>
    </row>
    <row r="2736" spans="1:3" x14ac:dyDescent="0.25">
      <c r="A2736" t="str">
        <f>"0611893512050"</f>
        <v>0611893512050</v>
      </c>
      <c r="B2736" t="str">
        <f>"CR5283"</f>
        <v>CR5283</v>
      </c>
      <c r="C2736" t="s">
        <v>2666</v>
      </c>
    </row>
    <row r="2737" spans="1:3" x14ac:dyDescent="0.25">
      <c r="A2737" t="str">
        <f>"0611861176050"</f>
        <v>0611861176050</v>
      </c>
      <c r="B2737" t="str">
        <f>"CR4578"</f>
        <v>CR4578</v>
      </c>
      <c r="C2737" t="s">
        <v>2667</v>
      </c>
    </row>
    <row r="2738" spans="1:3" x14ac:dyDescent="0.25">
      <c r="A2738" t="str">
        <f>"0611893513050"</f>
        <v>0611893513050</v>
      </c>
      <c r="B2738" t="str">
        <f>"CA0687"</f>
        <v>CA0687</v>
      </c>
      <c r="C2738" t="s">
        <v>2668</v>
      </c>
    </row>
    <row r="2739" spans="1:3" x14ac:dyDescent="0.25">
      <c r="A2739" t="str">
        <f>"0611833039100"</f>
        <v>0611833039100</v>
      </c>
      <c r="B2739" t="str">
        <f>"LY0026"</f>
        <v>LY0026</v>
      </c>
      <c r="C2739" t="s">
        <v>2669</v>
      </c>
    </row>
    <row r="2740" spans="1:3" x14ac:dyDescent="0.25">
      <c r="A2740" t="str">
        <f>"0611893514050"</f>
        <v>0611893514050</v>
      </c>
      <c r="B2740" t="str">
        <f>"CA0745"</f>
        <v>CA0745</v>
      </c>
      <c r="C2740" t="s">
        <v>2670</v>
      </c>
    </row>
    <row r="2741" spans="1:3" x14ac:dyDescent="0.25">
      <c r="A2741" t="str">
        <f>"0611893515050"</f>
        <v>0611893515050</v>
      </c>
      <c r="B2741" t="str">
        <f>"CA0688"</f>
        <v>CA0688</v>
      </c>
      <c r="C2741" t="s">
        <v>2671</v>
      </c>
    </row>
    <row r="2742" spans="1:3" x14ac:dyDescent="0.25">
      <c r="A2742" t="str">
        <f>"0611833040100"</f>
        <v>0611833040100</v>
      </c>
      <c r="B2742" t="str">
        <f>"LY5710"</f>
        <v>LY5710</v>
      </c>
      <c r="C2742" t="s">
        <v>2672</v>
      </c>
    </row>
    <row r="2743" spans="1:3" x14ac:dyDescent="0.25">
      <c r="A2743" t="str">
        <f>"0611893516050"</f>
        <v>0611893516050</v>
      </c>
      <c r="B2743" t="str">
        <f>"CA0689"</f>
        <v>CA0689</v>
      </c>
      <c r="C2743" t="s">
        <v>2673</v>
      </c>
    </row>
    <row r="2744" spans="1:3" x14ac:dyDescent="0.25">
      <c r="A2744" t="str">
        <f>"0611861177050"</f>
        <v>0611861177050</v>
      </c>
      <c r="B2744" t="str">
        <f>"CR4579"</f>
        <v>CR4579</v>
      </c>
      <c r="C2744" t="s">
        <v>2674</v>
      </c>
    </row>
    <row r="2745" spans="1:3" x14ac:dyDescent="0.25">
      <c r="A2745" t="str">
        <f>"0611861178050"</f>
        <v>0611861178050</v>
      </c>
      <c r="B2745" t="str">
        <f>"CR4580"</f>
        <v>CR4580</v>
      </c>
      <c r="C2745" t="s">
        <v>2675</v>
      </c>
    </row>
    <row r="2746" spans="1:3" x14ac:dyDescent="0.25">
      <c r="A2746" t="str">
        <f>"0611893517050"</f>
        <v>0611893517050</v>
      </c>
      <c r="B2746" t="str">
        <f>"CA0772"</f>
        <v>CA0772</v>
      </c>
      <c r="C2746" t="s">
        <v>2676</v>
      </c>
    </row>
    <row r="2747" spans="1:3" x14ac:dyDescent="0.25">
      <c r="A2747" t="str">
        <f>"0611833041100"</f>
        <v>0611833041100</v>
      </c>
      <c r="B2747" t="str">
        <f>"LB1851"</f>
        <v>LB1851</v>
      </c>
      <c r="C2747" t="s">
        <v>2677</v>
      </c>
    </row>
    <row r="2748" spans="1:3" x14ac:dyDescent="0.25">
      <c r="A2748" t="str">
        <f>"0611861179050"</f>
        <v>0611861179050</v>
      </c>
      <c r="B2748" t="str">
        <f>"CR2674"</f>
        <v>CR2674</v>
      </c>
      <c r="C2748" t="s">
        <v>2678</v>
      </c>
    </row>
    <row r="2749" spans="1:3" x14ac:dyDescent="0.25">
      <c r="A2749" t="str">
        <f>"0611893518050"</f>
        <v>0611893518050</v>
      </c>
      <c r="B2749" t="str">
        <f>"CA0691"</f>
        <v>CA0691</v>
      </c>
      <c r="C2749" t="s">
        <v>2679</v>
      </c>
    </row>
    <row r="2750" spans="1:3" x14ac:dyDescent="0.25">
      <c r="A2750" t="str">
        <f>"0611893519050"</f>
        <v>0611893519050</v>
      </c>
      <c r="B2750" t="str">
        <f>"CA0692"</f>
        <v>CA0692</v>
      </c>
      <c r="C2750" t="s">
        <v>2681</v>
      </c>
    </row>
    <row r="2751" spans="1:3" x14ac:dyDescent="0.25">
      <c r="A2751" t="str">
        <f>"0611833042100"</f>
        <v>0611833042100</v>
      </c>
      <c r="B2751" t="str">
        <f>"LY1285"</f>
        <v>LY1285</v>
      </c>
      <c r="C2751" t="s">
        <v>2680</v>
      </c>
    </row>
    <row r="2752" spans="1:3" x14ac:dyDescent="0.25">
      <c r="A2752" t="str">
        <f>"0611833043100"</f>
        <v>0611833043100</v>
      </c>
      <c r="B2752" t="str">
        <f>"LY4533"</f>
        <v>LY4533</v>
      </c>
      <c r="C2752" t="s">
        <v>2682</v>
      </c>
    </row>
    <row r="2753" spans="1:3" x14ac:dyDescent="0.25">
      <c r="A2753" t="str">
        <f>"0611893520050"</f>
        <v>0611893520050</v>
      </c>
      <c r="B2753" t="str">
        <f>"CA0693"</f>
        <v>CA0693</v>
      </c>
      <c r="C2753" t="s">
        <v>2683</v>
      </c>
    </row>
    <row r="2754" spans="1:3" x14ac:dyDescent="0.25">
      <c r="A2754" t="str">
        <f>"0611893521050"</f>
        <v>0611893521050</v>
      </c>
      <c r="B2754" t="str">
        <f>"CA0694"</f>
        <v>CA0694</v>
      </c>
      <c r="C2754" t="s">
        <v>2684</v>
      </c>
    </row>
    <row r="2755" spans="1:3" x14ac:dyDescent="0.25">
      <c r="A2755" t="str">
        <f>"0611861180050"</f>
        <v>0611861180050</v>
      </c>
      <c r="B2755" t="str">
        <f>"CR4582"</f>
        <v>CR4582</v>
      </c>
      <c r="C2755" t="s">
        <v>2685</v>
      </c>
    </row>
    <row r="2756" spans="1:3" x14ac:dyDescent="0.25">
      <c r="A2756" t="str">
        <f>"0611893522050"</f>
        <v>0611893522050</v>
      </c>
      <c r="B2756" t="str">
        <f>"CA0695"</f>
        <v>CA0695</v>
      </c>
      <c r="C2756" t="s">
        <v>2686</v>
      </c>
    </row>
    <row r="2757" spans="1:3" x14ac:dyDescent="0.25">
      <c r="A2757" t="str">
        <f>"0611833045100"</f>
        <v>0611833045100</v>
      </c>
      <c r="B2757" t="str">
        <f>"LY5712"</f>
        <v>LY5712</v>
      </c>
      <c r="C2757" t="s">
        <v>2687</v>
      </c>
    </row>
    <row r="2758" spans="1:3" x14ac:dyDescent="0.25">
      <c r="A2758" t="str">
        <f>"0611893523050"</f>
        <v>0611893523050</v>
      </c>
      <c r="B2758" t="str">
        <f>"CA0696"</f>
        <v>CA0696</v>
      </c>
      <c r="C2758" t="s">
        <v>2688</v>
      </c>
    </row>
    <row r="2759" spans="1:3" x14ac:dyDescent="0.25">
      <c r="A2759" t="str">
        <f>"0611861181050"</f>
        <v>0611861181050</v>
      </c>
      <c r="B2759" t="str">
        <f>"CR4882"</f>
        <v>CR4882</v>
      </c>
      <c r="C2759" t="s">
        <v>2689</v>
      </c>
    </row>
    <row r="2760" spans="1:3" x14ac:dyDescent="0.25">
      <c r="A2760" t="str">
        <f>"0611856873100"</f>
        <v>0611856873100</v>
      </c>
      <c r="B2760" t="str">
        <f>"LY5737"</f>
        <v>LY5737</v>
      </c>
      <c r="C2760" t="s">
        <v>2690</v>
      </c>
    </row>
    <row r="2761" spans="1:3" x14ac:dyDescent="0.25">
      <c r="A2761" t="str">
        <f>"0611893524050"</f>
        <v>0611893524050</v>
      </c>
      <c r="B2761" t="str">
        <f>"CA0753"</f>
        <v>CA0753</v>
      </c>
      <c r="C2761" t="s">
        <v>2691</v>
      </c>
    </row>
    <row r="2762" spans="1:3" x14ac:dyDescent="0.25">
      <c r="A2762" t="str">
        <f>"0611861182050"</f>
        <v>0611861182050</v>
      </c>
      <c r="B2762" t="str">
        <f>"CR5046"</f>
        <v>CR5046</v>
      </c>
      <c r="C2762" t="s">
        <v>2692</v>
      </c>
    </row>
    <row r="2763" spans="1:3" x14ac:dyDescent="0.25">
      <c r="A2763" t="str">
        <f>"0611833047100"</f>
        <v>0611833047100</v>
      </c>
      <c r="B2763" t="str">
        <f>"LY5602"</f>
        <v>LY5602</v>
      </c>
      <c r="C2763" t="s">
        <v>2693</v>
      </c>
    </row>
    <row r="2764" spans="1:3" x14ac:dyDescent="0.25">
      <c r="A2764" t="str">
        <f>"0611893525050"</f>
        <v>0611893525050</v>
      </c>
      <c r="B2764" t="str">
        <f>"CA0698"</f>
        <v>CA0698</v>
      </c>
      <c r="C2764" t="s">
        <v>2694</v>
      </c>
    </row>
    <row r="2765" spans="1:3" x14ac:dyDescent="0.25">
      <c r="A2765" t="str">
        <f>"0611833048100"</f>
        <v>0611833048100</v>
      </c>
      <c r="B2765" t="str">
        <f>"LY0018"</f>
        <v>LY0018</v>
      </c>
      <c r="C2765" t="s">
        <v>2695</v>
      </c>
    </row>
    <row r="2766" spans="1:3" x14ac:dyDescent="0.25">
      <c r="A2766" t="str">
        <f>"0611893526050"</f>
        <v>0611893526050</v>
      </c>
      <c r="B2766" t="str">
        <f>"CA0738"</f>
        <v>CA0738</v>
      </c>
      <c r="C2766" t="s">
        <v>2696</v>
      </c>
    </row>
    <row r="2767" spans="1:3" x14ac:dyDescent="0.25">
      <c r="A2767" t="str">
        <f>"0611856874100"</f>
        <v>0611856874100</v>
      </c>
      <c r="B2767" t="str">
        <f>"LY5738"</f>
        <v>LY5738</v>
      </c>
      <c r="C2767" t="s">
        <v>2697</v>
      </c>
    </row>
    <row r="2768" spans="1:3" x14ac:dyDescent="0.25">
      <c r="A2768" t="str">
        <f>"0611893527050"</f>
        <v>0611893527050</v>
      </c>
      <c r="B2768" t="str">
        <f>"CA0754"</f>
        <v>CA0754</v>
      </c>
      <c r="C2768" t="s">
        <v>2698</v>
      </c>
    </row>
    <row r="2769" spans="1:3" x14ac:dyDescent="0.25">
      <c r="A2769" t="str">
        <f>"0611861183050"</f>
        <v>0611861183050</v>
      </c>
      <c r="B2769" t="str">
        <f>"CR3983"</f>
        <v>CR3983</v>
      </c>
      <c r="C2769" t="s">
        <v>2699</v>
      </c>
    </row>
    <row r="2770" spans="1:3" x14ac:dyDescent="0.25">
      <c r="A2770" t="str">
        <f>"0611833049100"</f>
        <v>0611833049100</v>
      </c>
      <c r="B2770" t="str">
        <f>"LY0027"</f>
        <v>LY0027</v>
      </c>
      <c r="C2770" t="s">
        <v>2700</v>
      </c>
    </row>
    <row r="2771" spans="1:3" x14ac:dyDescent="0.25">
      <c r="A2771" t="str">
        <f>"0611893528050"</f>
        <v>0611893528050</v>
      </c>
      <c r="B2771" t="str">
        <f>"CA0746"</f>
        <v>CA0746</v>
      </c>
      <c r="C2771" t="s">
        <v>2701</v>
      </c>
    </row>
    <row r="2772" spans="1:3" x14ac:dyDescent="0.25">
      <c r="A2772" t="str">
        <f>"0611861184050"</f>
        <v>0611861184050</v>
      </c>
      <c r="B2772" t="str">
        <f>"CR4583"</f>
        <v>CR4583</v>
      </c>
      <c r="C2772" t="s">
        <v>2702</v>
      </c>
    </row>
    <row r="2773" spans="1:3" x14ac:dyDescent="0.25">
      <c r="A2773" t="str">
        <f>"0611893529050"</f>
        <v>0611893529050</v>
      </c>
      <c r="B2773" t="str">
        <f>"CR5104"</f>
        <v>CR5104</v>
      </c>
      <c r="C2773" t="s">
        <v>2703</v>
      </c>
    </row>
    <row r="2774" spans="1:3" x14ac:dyDescent="0.25">
      <c r="A2774" t="str">
        <f>"0611893530050"</f>
        <v>0611893530050</v>
      </c>
      <c r="B2774" t="str">
        <f>"CR5285"</f>
        <v>CR5285</v>
      </c>
      <c r="C2774" t="s">
        <v>2704</v>
      </c>
    </row>
    <row r="2775" spans="1:3" x14ac:dyDescent="0.25">
      <c r="A2775" t="str">
        <f>"0611893531050"</f>
        <v>0611893531050</v>
      </c>
      <c r="B2775" t="str">
        <f>"CR5286"</f>
        <v>CR5286</v>
      </c>
      <c r="C2775" t="s">
        <v>2705</v>
      </c>
    </row>
    <row r="2776" spans="1:3" x14ac:dyDescent="0.25">
      <c r="A2776" t="str">
        <f>"0611893532050"</f>
        <v>0611893532050</v>
      </c>
      <c r="B2776" t="str">
        <f>"CR5287"</f>
        <v>CR5287</v>
      </c>
      <c r="C2776" t="s">
        <v>2706</v>
      </c>
    </row>
    <row r="2777" spans="1:3" x14ac:dyDescent="0.25">
      <c r="A2777" t="str">
        <f>"0611893533050"</f>
        <v>0611893533050</v>
      </c>
      <c r="B2777" t="str">
        <f>"CR5288"</f>
        <v>CR5288</v>
      </c>
      <c r="C2777" t="s">
        <v>2707</v>
      </c>
    </row>
    <row r="2778" spans="1:3" x14ac:dyDescent="0.25">
      <c r="A2778" t="str">
        <f>"0611833050100"</f>
        <v>0611833050100</v>
      </c>
      <c r="B2778" t="str">
        <f>"LY0028"</f>
        <v>LY0028</v>
      </c>
      <c r="C2778" t="s">
        <v>2708</v>
      </c>
    </row>
    <row r="2779" spans="1:3" x14ac:dyDescent="0.25">
      <c r="A2779" t="str">
        <f>"0611893534050"</f>
        <v>0611893534050</v>
      </c>
      <c r="B2779" t="str">
        <f>"CA0747"</f>
        <v>CA0747</v>
      </c>
      <c r="C2779" t="s">
        <v>2709</v>
      </c>
    </row>
    <row r="2780" spans="1:3" x14ac:dyDescent="0.25">
      <c r="A2780" t="str">
        <f>"0611833051100"</f>
        <v>0611833051100</v>
      </c>
      <c r="B2780" t="str">
        <f>"LY5667"</f>
        <v>LY5667</v>
      </c>
      <c r="C2780" t="s">
        <v>2712</v>
      </c>
    </row>
    <row r="2781" spans="1:3" x14ac:dyDescent="0.25">
      <c r="A2781" t="str">
        <f>"0611893535050"</f>
        <v>0611893535050</v>
      </c>
      <c r="B2781" t="str">
        <f>"CA0703"</f>
        <v>CA0703</v>
      </c>
      <c r="C2781" t="s">
        <v>2711</v>
      </c>
    </row>
    <row r="2782" spans="1:3" x14ac:dyDescent="0.25">
      <c r="A2782" t="str">
        <f>"0611893536050"</f>
        <v>0611893536050</v>
      </c>
      <c r="B2782" t="str">
        <f>"CA0702"</f>
        <v>CA0702</v>
      </c>
      <c r="C2782" t="s">
        <v>2713</v>
      </c>
    </row>
    <row r="2783" spans="1:3" x14ac:dyDescent="0.25">
      <c r="A2783" t="str">
        <f>"0611833052100"</f>
        <v>0611833052100</v>
      </c>
      <c r="B2783" t="str">
        <f>"LY4848"</f>
        <v>LY4848</v>
      </c>
      <c r="C2783" t="s">
        <v>2714</v>
      </c>
    </row>
    <row r="2784" spans="1:3" x14ac:dyDescent="0.25">
      <c r="A2784" t="str">
        <f>"0611893537050"</f>
        <v>0611893537050</v>
      </c>
      <c r="B2784" t="str">
        <f>"CA0700"</f>
        <v>CA0700</v>
      </c>
      <c r="C2784" t="s">
        <v>2715</v>
      </c>
    </row>
    <row r="2785" spans="1:3" x14ac:dyDescent="0.25">
      <c r="A2785" t="str">
        <f>"0611833053100"</f>
        <v>0611833053100</v>
      </c>
      <c r="B2785" t="str">
        <f>"LY5660"</f>
        <v>LY5660</v>
      </c>
      <c r="C2785" t="s">
        <v>2710</v>
      </c>
    </row>
    <row r="2786" spans="1:3" x14ac:dyDescent="0.25">
      <c r="A2786" t="str">
        <f>"0611833054100"</f>
        <v>0611833054100</v>
      </c>
      <c r="B2786" t="str">
        <f>"LY4610"</f>
        <v>LY4610</v>
      </c>
      <c r="C2786" t="s">
        <v>2716</v>
      </c>
    </row>
    <row r="2787" spans="1:3" x14ac:dyDescent="0.25">
      <c r="A2787" t="str">
        <f>"0611893538050"</f>
        <v>0611893538050</v>
      </c>
      <c r="B2787" t="str">
        <f>"CA0701"</f>
        <v>CA0701</v>
      </c>
      <c r="C2787" t="s">
        <v>2717</v>
      </c>
    </row>
    <row r="2788" spans="1:3" x14ac:dyDescent="0.25">
      <c r="A2788" t="str">
        <f>"0611916449100"</f>
        <v>0611916449100</v>
      </c>
      <c r="B2788" t="str">
        <f>"LY5758"</f>
        <v>LY5758</v>
      </c>
      <c r="C2788" t="s">
        <v>13962</v>
      </c>
    </row>
    <row r="2789" spans="1:3" x14ac:dyDescent="0.25">
      <c r="A2789" t="str">
        <f>"0611916444050"</f>
        <v>0611916444050</v>
      </c>
      <c r="B2789" t="str">
        <f>"CA0778"</f>
        <v>CA0778</v>
      </c>
      <c r="C2789" t="s">
        <v>13807</v>
      </c>
    </row>
    <row r="2790" spans="1:3" x14ac:dyDescent="0.25">
      <c r="A2790" t="str">
        <f>"0611833055100"</f>
        <v>0611833055100</v>
      </c>
      <c r="B2790" t="str">
        <f>"LY0240"</f>
        <v>LY0240</v>
      </c>
      <c r="C2790" t="s">
        <v>2718</v>
      </c>
    </row>
    <row r="2791" spans="1:3" x14ac:dyDescent="0.25">
      <c r="A2791" t="str">
        <f>"0611893539050"</f>
        <v>0611893539050</v>
      </c>
      <c r="B2791" t="str">
        <f>"CA0704"</f>
        <v>CA0704</v>
      </c>
      <c r="C2791" t="s">
        <v>2719</v>
      </c>
    </row>
    <row r="2792" spans="1:3" x14ac:dyDescent="0.25">
      <c r="A2792" t="str">
        <f>"0611833056100"</f>
        <v>0611833056100</v>
      </c>
      <c r="B2792" t="str">
        <f>"LY0013"</f>
        <v>LY0013</v>
      </c>
      <c r="C2792" t="s">
        <v>2720</v>
      </c>
    </row>
    <row r="2793" spans="1:3" x14ac:dyDescent="0.25">
      <c r="A2793" t="str">
        <f>"0611893540050"</f>
        <v>0611893540050</v>
      </c>
      <c r="B2793" t="str">
        <f>"CA0715"</f>
        <v>CA0715</v>
      </c>
      <c r="C2793" t="s">
        <v>2721</v>
      </c>
    </row>
    <row r="2794" spans="1:3" x14ac:dyDescent="0.25">
      <c r="A2794" t="str">
        <f>"0611861185050"</f>
        <v>0611861185050</v>
      </c>
      <c r="B2794" t="str">
        <f>"CR4584"</f>
        <v>CR4584</v>
      </c>
      <c r="C2794" t="s">
        <v>2722</v>
      </c>
    </row>
    <row r="2795" spans="1:3" x14ac:dyDescent="0.25">
      <c r="A2795" t="str">
        <f>"0611833057100"</f>
        <v>0611833057100</v>
      </c>
      <c r="B2795" t="str">
        <f>"LY0019"</f>
        <v>LY0019</v>
      </c>
      <c r="C2795" t="s">
        <v>2723</v>
      </c>
    </row>
    <row r="2796" spans="1:3" x14ac:dyDescent="0.25">
      <c r="A2796" t="str">
        <f>"0611893541050"</f>
        <v>0611893541050</v>
      </c>
      <c r="B2796" t="str">
        <f>"CA0739"</f>
        <v>CA0739</v>
      </c>
      <c r="C2796" t="s">
        <v>2724</v>
      </c>
    </row>
    <row r="2797" spans="1:3" x14ac:dyDescent="0.25">
      <c r="A2797" t="str">
        <f>"0611833058100"</f>
        <v>0611833058100</v>
      </c>
      <c r="B2797" t="str">
        <f>"LY0241"</f>
        <v>LY0241</v>
      </c>
      <c r="C2797" t="s">
        <v>2725</v>
      </c>
    </row>
    <row r="2798" spans="1:3" x14ac:dyDescent="0.25">
      <c r="A2798" t="str">
        <f>"0611893542050"</f>
        <v>0611893542050</v>
      </c>
      <c r="B2798" t="str">
        <f>"CA0707"</f>
        <v>CA0707</v>
      </c>
      <c r="C2798" t="s">
        <v>2726</v>
      </c>
    </row>
    <row r="2799" spans="1:3" x14ac:dyDescent="0.25">
      <c r="A2799" t="str">
        <f>"0611833059100"</f>
        <v>0611833059100</v>
      </c>
      <c r="B2799" t="str">
        <f>"LY5680"</f>
        <v>LY5680</v>
      </c>
      <c r="C2799" t="s">
        <v>2727</v>
      </c>
    </row>
    <row r="2800" spans="1:3" x14ac:dyDescent="0.25">
      <c r="A2800" t="str">
        <f>"0611893543050"</f>
        <v>0611893543050</v>
      </c>
      <c r="B2800" t="str">
        <f>"CA0706"</f>
        <v>CA0706</v>
      </c>
      <c r="C2800" t="s">
        <v>2728</v>
      </c>
    </row>
    <row r="2801" spans="1:3" x14ac:dyDescent="0.25">
      <c r="A2801" t="str">
        <f>"0611833060100"</f>
        <v>0611833060100</v>
      </c>
      <c r="B2801" t="str">
        <f>"LY5698"</f>
        <v>LY5698</v>
      </c>
      <c r="C2801" t="s">
        <v>2729</v>
      </c>
    </row>
    <row r="2802" spans="1:3" x14ac:dyDescent="0.25">
      <c r="A2802" t="str">
        <f>"0611893544050"</f>
        <v>0611893544050</v>
      </c>
      <c r="B2802" t="str">
        <f>"CA0708"</f>
        <v>CA0708</v>
      </c>
      <c r="C2802" t="s">
        <v>2730</v>
      </c>
    </row>
    <row r="2803" spans="1:3" x14ac:dyDescent="0.25">
      <c r="A2803" t="str">
        <f>"0611861186050"</f>
        <v>0611861186050</v>
      </c>
      <c r="B2803" t="str">
        <f>"CR5059"</f>
        <v>CR5059</v>
      </c>
      <c r="C2803" t="s">
        <v>2731</v>
      </c>
    </row>
    <row r="2804" spans="1:3" x14ac:dyDescent="0.25">
      <c r="A2804" t="str">
        <f>"0611861187100"</f>
        <v>0611861187100</v>
      </c>
      <c r="B2804" t="str">
        <f>"LK4962"</f>
        <v>LK4962</v>
      </c>
      <c r="C2804" t="s">
        <v>2732</v>
      </c>
    </row>
    <row r="2805" spans="1:3" x14ac:dyDescent="0.25">
      <c r="A2805" t="str">
        <f>"0611833061100"</f>
        <v>0611833061100</v>
      </c>
      <c r="B2805" t="str">
        <f>"LH2550"</f>
        <v>LH2550</v>
      </c>
      <c r="C2805" t="s">
        <v>2733</v>
      </c>
    </row>
    <row r="2806" spans="1:3" x14ac:dyDescent="0.25">
      <c r="A2806" t="str">
        <f>"0611893545050"</f>
        <v>0611893545050</v>
      </c>
      <c r="B2806" t="str">
        <f>"CA0709"</f>
        <v>CA0709</v>
      </c>
      <c r="C2806" t="s">
        <v>2734</v>
      </c>
    </row>
    <row r="2807" spans="1:3" x14ac:dyDescent="0.25">
      <c r="A2807" t="str">
        <f>"0611893546050"</f>
        <v>0611893546050</v>
      </c>
      <c r="B2807" t="str">
        <f>"CA0710"</f>
        <v>CA0710</v>
      </c>
      <c r="C2807" t="s">
        <v>2735</v>
      </c>
    </row>
    <row r="2808" spans="1:3" x14ac:dyDescent="0.25">
      <c r="A2808" t="str">
        <f>"0611833062100"</f>
        <v>0611833062100</v>
      </c>
      <c r="B2808" t="str">
        <f>"LY5647"</f>
        <v>LY5647</v>
      </c>
      <c r="C2808" t="s">
        <v>2736</v>
      </c>
    </row>
    <row r="2809" spans="1:3" x14ac:dyDescent="0.25">
      <c r="A2809" t="str">
        <f>"0611893547050"</f>
        <v>0611893547050</v>
      </c>
      <c r="B2809" t="str">
        <f>"CA0712"</f>
        <v>CA0712</v>
      </c>
      <c r="C2809" t="s">
        <v>2737</v>
      </c>
    </row>
    <row r="2810" spans="1:3" x14ac:dyDescent="0.25">
      <c r="A2810" t="str">
        <f>"0611833063100"</f>
        <v>0611833063100</v>
      </c>
      <c r="B2810" t="str">
        <f>"LY5669"</f>
        <v>LY5669</v>
      </c>
      <c r="C2810" t="s">
        <v>2738</v>
      </c>
    </row>
    <row r="2811" spans="1:3" x14ac:dyDescent="0.25">
      <c r="A2811" t="str">
        <f>"0611893548050"</f>
        <v>0611893548050</v>
      </c>
      <c r="B2811" t="str">
        <f>"CA0711"</f>
        <v>CA0711</v>
      </c>
      <c r="C2811" t="s">
        <v>2739</v>
      </c>
    </row>
    <row r="2812" spans="1:3" x14ac:dyDescent="0.25">
      <c r="A2812" t="str">
        <f>"0611861188050"</f>
        <v>0611861188050</v>
      </c>
      <c r="B2812" t="str">
        <f>"CR4585"</f>
        <v>CR4585</v>
      </c>
      <c r="C2812" t="s">
        <v>2740</v>
      </c>
    </row>
    <row r="2813" spans="1:3" x14ac:dyDescent="0.25">
      <c r="A2813" t="str">
        <f>"0611861189100"</f>
        <v>0611861189100</v>
      </c>
      <c r="B2813" t="str">
        <f>"LK4963"</f>
        <v>LK4963</v>
      </c>
      <c r="C2813" t="s">
        <v>2741</v>
      </c>
    </row>
    <row r="2814" spans="1:3" x14ac:dyDescent="0.25">
      <c r="A2814" t="str">
        <f>"0611833064100"</f>
        <v>0611833064100</v>
      </c>
      <c r="B2814" t="str">
        <f>"LH2650"</f>
        <v>LH2650</v>
      </c>
      <c r="C2814" t="s">
        <v>2742</v>
      </c>
    </row>
    <row r="2815" spans="1:3" x14ac:dyDescent="0.25">
      <c r="A2815" t="str">
        <f>"0611833065100"</f>
        <v>0611833065100</v>
      </c>
      <c r="B2815" t="str">
        <f>"LY5648"</f>
        <v>LY5648</v>
      </c>
      <c r="C2815" t="s">
        <v>2743</v>
      </c>
    </row>
    <row r="2816" spans="1:3" x14ac:dyDescent="0.25">
      <c r="A2816" t="str">
        <f>"0611893549050"</f>
        <v>0611893549050</v>
      </c>
      <c r="B2816" t="str">
        <f>"CA0713"</f>
        <v>CA0713</v>
      </c>
      <c r="C2816" t="s">
        <v>2744</v>
      </c>
    </row>
    <row r="2817" spans="1:3" x14ac:dyDescent="0.25">
      <c r="A2817" t="str">
        <f>"0611833066100"</f>
        <v>0611833066100</v>
      </c>
      <c r="B2817" t="str">
        <f>"LY5729"</f>
        <v>LY5729</v>
      </c>
      <c r="C2817" t="s">
        <v>2746</v>
      </c>
    </row>
    <row r="2818" spans="1:3" x14ac:dyDescent="0.25">
      <c r="A2818" t="str">
        <f>"0611893550050"</f>
        <v>0611893550050</v>
      </c>
      <c r="B2818" t="str">
        <f>"CA0714"</f>
        <v>CA0714</v>
      </c>
      <c r="C2818" t="s">
        <v>2745</v>
      </c>
    </row>
    <row r="2819" spans="1:3" x14ac:dyDescent="0.25">
      <c r="A2819" t="str">
        <f>"0611833067100"</f>
        <v>0611833067100</v>
      </c>
      <c r="B2819" t="str">
        <f>"LY0021"</f>
        <v>LY0021</v>
      </c>
      <c r="C2819" t="s">
        <v>2747</v>
      </c>
    </row>
    <row r="2820" spans="1:3" x14ac:dyDescent="0.25">
      <c r="A2820" t="str">
        <f>"0611893551050"</f>
        <v>0611893551050</v>
      </c>
      <c r="B2820" t="str">
        <f>"CA0740"</f>
        <v>CA0740</v>
      </c>
      <c r="C2820" t="s">
        <v>2748</v>
      </c>
    </row>
    <row r="2821" spans="1:3" x14ac:dyDescent="0.25">
      <c r="A2821" t="str">
        <f>"0611884096100"</f>
        <v>0611884096100</v>
      </c>
      <c r="B2821" t="str">
        <f>"LY5747"</f>
        <v>LY5747</v>
      </c>
      <c r="C2821" t="s">
        <v>2749</v>
      </c>
    </row>
    <row r="2822" spans="1:3" x14ac:dyDescent="0.25">
      <c r="A2822" t="str">
        <f>"0611893552050"</f>
        <v>0611893552050</v>
      </c>
      <c r="B2822" t="str">
        <f>"CA0767"</f>
        <v>CA0767</v>
      </c>
      <c r="C2822" t="s">
        <v>2750</v>
      </c>
    </row>
    <row r="2823" spans="1:3" x14ac:dyDescent="0.25">
      <c r="A2823" t="str">
        <f>"0611833068025"</f>
        <v>0611833068025</v>
      </c>
      <c r="B2823" t="str">
        <f>"MC4153"</f>
        <v>MC4153</v>
      </c>
      <c r="C2823" t="s">
        <v>2751</v>
      </c>
    </row>
    <row r="2824" spans="1:3" x14ac:dyDescent="0.25">
      <c r="A2824" t="str">
        <f>"0611833069100"</f>
        <v>0611833069100</v>
      </c>
      <c r="B2824" t="str">
        <f>"LL1880"</f>
        <v>LL1880</v>
      </c>
      <c r="C2824" t="s">
        <v>2752</v>
      </c>
    </row>
    <row r="2825" spans="1:3" x14ac:dyDescent="0.25">
      <c r="A2825" t="str">
        <f>"0611833070100"</f>
        <v>0611833070100</v>
      </c>
      <c r="B2825" t="str">
        <f>"LL1885"</f>
        <v>LL1885</v>
      </c>
      <c r="C2825" t="s">
        <v>2753</v>
      </c>
    </row>
    <row r="2826" spans="1:3" x14ac:dyDescent="0.25">
      <c r="A2826" t="str">
        <f>"0611833411100"</f>
        <v>0611833411100</v>
      </c>
      <c r="B2826" t="str">
        <f>"LC5800"</f>
        <v>LC5800</v>
      </c>
      <c r="C2826" t="s">
        <v>3371</v>
      </c>
    </row>
    <row r="2827" spans="1:3" x14ac:dyDescent="0.25">
      <c r="A2827" t="str">
        <f>"0611833412200"</f>
        <v>0611833412200</v>
      </c>
      <c r="B2827" t="str">
        <f>"KP5801"</f>
        <v>KP5801</v>
      </c>
      <c r="C2827" t="s">
        <v>3372</v>
      </c>
    </row>
    <row r="2828" spans="1:3" x14ac:dyDescent="0.25">
      <c r="A2828" t="str">
        <f>"0611833413025"</f>
        <v>0611833413025</v>
      </c>
      <c r="B2828" t="str">
        <f>"MC0786"</f>
        <v>MC0786</v>
      </c>
      <c r="C2828" t="s">
        <v>3373</v>
      </c>
    </row>
    <row r="2829" spans="1:3" x14ac:dyDescent="0.25">
      <c r="A2829" t="str">
        <f>"0611833414100"</f>
        <v>0611833414100</v>
      </c>
      <c r="B2829" t="str">
        <f>"LC5804"</f>
        <v>LC5804</v>
      </c>
      <c r="C2829" t="s">
        <v>3374</v>
      </c>
    </row>
    <row r="2830" spans="1:3" x14ac:dyDescent="0.25">
      <c r="A2830" t="str">
        <f>"0611833415100"</f>
        <v>0611833415100</v>
      </c>
      <c r="B2830" t="str">
        <f>"LC5803"</f>
        <v>LC5803</v>
      </c>
      <c r="C2830" t="s">
        <v>3375</v>
      </c>
    </row>
    <row r="2831" spans="1:3" x14ac:dyDescent="0.25">
      <c r="A2831" t="str">
        <f>"0611856973025"</f>
        <v>0611856973025</v>
      </c>
      <c r="B2831" t="str">
        <f>"MC4412"</f>
        <v>MC4412</v>
      </c>
      <c r="C2831" t="s">
        <v>3376</v>
      </c>
    </row>
    <row r="2832" spans="1:3" x14ac:dyDescent="0.25">
      <c r="A2832" t="str">
        <f>"0611833071025"</f>
        <v>0611833071025</v>
      </c>
      <c r="B2832" t="str">
        <f>"MC1100"</f>
        <v>MC1100</v>
      </c>
      <c r="C2832" t="s">
        <v>2754</v>
      </c>
    </row>
    <row r="2833" spans="1:3" x14ac:dyDescent="0.25">
      <c r="A2833" t="str">
        <f>"0611833072100"</f>
        <v>0611833072100</v>
      </c>
      <c r="B2833" t="str">
        <f>"LF1277"</f>
        <v>LF1277</v>
      </c>
      <c r="C2833" t="s">
        <v>2755</v>
      </c>
    </row>
    <row r="2834" spans="1:3" x14ac:dyDescent="0.25">
      <c r="A2834" t="str">
        <f>"0611837197100"</f>
        <v>0611837197100</v>
      </c>
      <c r="B2834" t="str">
        <f>"LK5733"</f>
        <v>LK5733</v>
      </c>
      <c r="C2834" t="s">
        <v>2756</v>
      </c>
    </row>
    <row r="2835" spans="1:3" x14ac:dyDescent="0.25">
      <c r="A2835" t="str">
        <f>"0611837243100"</f>
        <v>0611837243100</v>
      </c>
      <c r="B2835" t="str">
        <f>"LB1900"</f>
        <v>LB1900</v>
      </c>
      <c r="C2835" t="s">
        <v>2757</v>
      </c>
    </row>
    <row r="2836" spans="1:3" x14ac:dyDescent="0.25">
      <c r="A2836" t="str">
        <f>"0611833098025"</f>
        <v>0611833098025</v>
      </c>
      <c r="B2836" t="str">
        <f>"MC3703"</f>
        <v>MC3703</v>
      </c>
      <c r="C2836" t="s">
        <v>2759</v>
      </c>
    </row>
    <row r="2837" spans="1:3" x14ac:dyDescent="0.25">
      <c r="A2837" t="str">
        <f>"0611856875025"</f>
        <v>0611856875025</v>
      </c>
      <c r="B2837" t="str">
        <f>"MC3704"</f>
        <v>MC3704</v>
      </c>
      <c r="C2837" t="s">
        <v>2760</v>
      </c>
    </row>
    <row r="2838" spans="1:3" x14ac:dyDescent="0.25">
      <c r="A2838" t="str">
        <f>"0611856876100"</f>
        <v>0611856876100</v>
      </c>
      <c r="B2838" t="str">
        <f>"LQ3870"</f>
        <v>LQ3870</v>
      </c>
      <c r="C2838" t="s">
        <v>2761</v>
      </c>
    </row>
    <row r="2839" spans="1:3" x14ac:dyDescent="0.25">
      <c r="A2839" t="str">
        <f>"0611833100100"</f>
        <v>0611833100100</v>
      </c>
      <c r="B2839" t="str">
        <f>"LQ5842"</f>
        <v>LQ5842</v>
      </c>
      <c r="C2839" t="s">
        <v>2762</v>
      </c>
    </row>
    <row r="2840" spans="1:3" x14ac:dyDescent="0.25">
      <c r="A2840" t="str">
        <f>"0611833101100"</f>
        <v>0611833101100</v>
      </c>
      <c r="B2840" t="str">
        <f>"LQ6097"</f>
        <v>LQ6097</v>
      </c>
      <c r="C2840" t="s">
        <v>2763</v>
      </c>
    </row>
    <row r="2841" spans="1:3" x14ac:dyDescent="0.25">
      <c r="A2841" t="str">
        <f>"0611833099100"</f>
        <v>0611833099100</v>
      </c>
      <c r="B2841" t="str">
        <f>"LB1960"</f>
        <v>LB1960</v>
      </c>
      <c r="C2841" t="s">
        <v>2764</v>
      </c>
    </row>
    <row r="2842" spans="1:3" x14ac:dyDescent="0.25">
      <c r="A2842" t="str">
        <f>"0611833103100"</f>
        <v>0611833103100</v>
      </c>
      <c r="B2842" t="str">
        <f>"LB1965"</f>
        <v>LB1965</v>
      </c>
      <c r="C2842" t="s">
        <v>2765</v>
      </c>
    </row>
    <row r="2843" spans="1:3" x14ac:dyDescent="0.25">
      <c r="A2843" t="str">
        <f>"0611833104100"</f>
        <v>0611833104100</v>
      </c>
      <c r="B2843" t="str">
        <f>"LB1962"</f>
        <v>LB1962</v>
      </c>
      <c r="C2843" t="s">
        <v>2766</v>
      </c>
    </row>
    <row r="2844" spans="1:3" x14ac:dyDescent="0.25">
      <c r="A2844" t="str">
        <f>"0611833105100"</f>
        <v>0611833105100</v>
      </c>
      <c r="B2844" t="str">
        <f>"LK5734"</f>
        <v>LK5734</v>
      </c>
      <c r="C2844" t="s">
        <v>2767</v>
      </c>
    </row>
    <row r="2845" spans="1:3" x14ac:dyDescent="0.25">
      <c r="A2845" t="str">
        <f>"0611833106100"</f>
        <v>0611833106100</v>
      </c>
      <c r="B2845" t="str">
        <f>"LB1970"</f>
        <v>LB1970</v>
      </c>
      <c r="C2845" t="s">
        <v>2768</v>
      </c>
    </row>
    <row r="2846" spans="1:3" x14ac:dyDescent="0.25">
      <c r="A2846" t="str">
        <f>"0611833107100"</f>
        <v>0611833107100</v>
      </c>
      <c r="B2846" t="str">
        <f>"LB1973"</f>
        <v>LB1973</v>
      </c>
      <c r="C2846" t="s">
        <v>2769</v>
      </c>
    </row>
    <row r="2847" spans="1:3" x14ac:dyDescent="0.25">
      <c r="A2847" t="str">
        <f>"0611833108100"</f>
        <v>0611833108100</v>
      </c>
      <c r="B2847" t="str">
        <f>"LB1963"</f>
        <v>LB1963</v>
      </c>
      <c r="C2847" t="s">
        <v>2770</v>
      </c>
    </row>
    <row r="2848" spans="1:3" x14ac:dyDescent="0.25">
      <c r="A2848" t="str">
        <f>"0611833109100"</f>
        <v>0611833109100</v>
      </c>
      <c r="B2848" t="str">
        <f>"LB1964"</f>
        <v>LB1964</v>
      </c>
      <c r="C2848" t="s">
        <v>2771</v>
      </c>
    </row>
    <row r="2849" spans="1:3" x14ac:dyDescent="0.25">
      <c r="A2849" t="str">
        <f>"0611833110100"</f>
        <v>0611833110100</v>
      </c>
      <c r="B2849" t="str">
        <f>"LK7001"</f>
        <v>LK7001</v>
      </c>
      <c r="C2849" t="s">
        <v>2772</v>
      </c>
    </row>
    <row r="2850" spans="1:3" x14ac:dyDescent="0.25">
      <c r="A2850" t="str">
        <f>"0611833111100"</f>
        <v>0611833111100</v>
      </c>
      <c r="B2850" t="str">
        <f>"LK7002"</f>
        <v>LK7002</v>
      </c>
      <c r="C2850" t="s">
        <v>2773</v>
      </c>
    </row>
    <row r="2851" spans="1:3" x14ac:dyDescent="0.25">
      <c r="A2851" t="str">
        <f>"0611833112100"</f>
        <v>0611833112100</v>
      </c>
      <c r="B2851" t="str">
        <f>"LK7003"</f>
        <v>LK7003</v>
      </c>
      <c r="C2851" t="s">
        <v>2774</v>
      </c>
    </row>
    <row r="2852" spans="1:3" x14ac:dyDescent="0.25">
      <c r="A2852" t="str">
        <f>"0611833113100"</f>
        <v>0611833113100</v>
      </c>
      <c r="B2852" t="str">
        <f>"LK7004"</f>
        <v>LK7004</v>
      </c>
      <c r="C2852" t="s">
        <v>2775</v>
      </c>
    </row>
    <row r="2853" spans="1:3" x14ac:dyDescent="0.25">
      <c r="A2853" t="str">
        <f>"0611833114100"</f>
        <v>0611833114100</v>
      </c>
      <c r="B2853" t="str">
        <f>"LK7005"</f>
        <v>LK7005</v>
      </c>
      <c r="C2853" t="s">
        <v>2776</v>
      </c>
    </row>
    <row r="2854" spans="1:3" x14ac:dyDescent="0.25">
      <c r="A2854" t="str">
        <f>"0611833115100"</f>
        <v>0611833115100</v>
      </c>
      <c r="B2854" t="str">
        <f>"LK7006"</f>
        <v>LK7006</v>
      </c>
      <c r="C2854" t="s">
        <v>2777</v>
      </c>
    </row>
    <row r="2855" spans="1:3" x14ac:dyDescent="0.25">
      <c r="A2855" t="str">
        <f>"0611833116100"</f>
        <v>0611833116100</v>
      </c>
      <c r="B2855" t="str">
        <f>"LK0108"</f>
        <v>LK0108</v>
      </c>
      <c r="C2855" t="s">
        <v>2778</v>
      </c>
    </row>
    <row r="2856" spans="1:3" x14ac:dyDescent="0.25">
      <c r="A2856" t="str">
        <f>"0611833117100"</f>
        <v>0611833117100</v>
      </c>
      <c r="B2856" t="str">
        <f>"LK0109"</f>
        <v>LK0109</v>
      </c>
      <c r="C2856" t="s">
        <v>2779</v>
      </c>
    </row>
    <row r="2857" spans="1:3" x14ac:dyDescent="0.25">
      <c r="A2857" t="str">
        <f>"0611833118100"</f>
        <v>0611833118100</v>
      </c>
      <c r="B2857" t="str">
        <f>"LK0672"</f>
        <v>LK0672</v>
      </c>
      <c r="C2857" t="s">
        <v>2780</v>
      </c>
    </row>
    <row r="2858" spans="1:3" x14ac:dyDescent="0.25">
      <c r="A2858" t="str">
        <f>"0611833119100"</f>
        <v>0611833119100</v>
      </c>
      <c r="B2858" t="str">
        <f>"LK0110"</f>
        <v>LK0110</v>
      </c>
      <c r="C2858" t="s">
        <v>2781</v>
      </c>
    </row>
    <row r="2859" spans="1:3" x14ac:dyDescent="0.25">
      <c r="A2859" t="str">
        <f>"0611833120100"</f>
        <v>0611833120100</v>
      </c>
      <c r="B2859" t="str">
        <f>"LK0111"</f>
        <v>LK0111</v>
      </c>
      <c r="C2859" t="s">
        <v>2782</v>
      </c>
    </row>
    <row r="2860" spans="1:3" x14ac:dyDescent="0.25">
      <c r="A2860" t="str">
        <f>"0611833122025"</f>
        <v>0611833122025</v>
      </c>
      <c r="B2860" t="str">
        <f>"MC3473"</f>
        <v>MC3473</v>
      </c>
      <c r="C2860" t="s">
        <v>2783</v>
      </c>
    </row>
    <row r="2861" spans="1:3" x14ac:dyDescent="0.25">
      <c r="A2861" t="str">
        <f>"0611884098050"</f>
        <v>0611884098050</v>
      </c>
      <c r="B2861" t="str">
        <f>"CR5368"</f>
        <v>CR5368</v>
      </c>
      <c r="C2861" t="s">
        <v>2806</v>
      </c>
    </row>
    <row r="2862" spans="1:3" x14ac:dyDescent="0.25">
      <c r="A2862" t="str">
        <f>"0611884099050"</f>
        <v>0611884099050</v>
      </c>
      <c r="B2862" t="str">
        <f>"CR5346"</f>
        <v>CR5346</v>
      </c>
      <c r="C2862" t="s">
        <v>2883</v>
      </c>
    </row>
    <row r="2863" spans="1:3" x14ac:dyDescent="0.25">
      <c r="A2863" t="str">
        <f>"0611833126100"</f>
        <v>0611833126100</v>
      </c>
      <c r="B2863" t="str">
        <f>"LF1425"</f>
        <v>LF1425</v>
      </c>
      <c r="C2863" t="s">
        <v>2784</v>
      </c>
    </row>
    <row r="2864" spans="1:3" x14ac:dyDescent="0.25">
      <c r="A2864" t="str">
        <f>"0611833127100"</f>
        <v>0611833127100</v>
      </c>
      <c r="B2864" t="str">
        <f>"LK2592"</f>
        <v>LK2592</v>
      </c>
      <c r="C2864" t="s">
        <v>2785</v>
      </c>
    </row>
    <row r="2865" spans="1:3" x14ac:dyDescent="0.25">
      <c r="A2865" t="str">
        <f>"0611861190050"</f>
        <v>0611861190050</v>
      </c>
      <c r="B2865" t="str">
        <f>"CR2629"</f>
        <v>CR2629</v>
      </c>
      <c r="C2865" t="s">
        <v>2786</v>
      </c>
    </row>
    <row r="2866" spans="1:3" x14ac:dyDescent="0.25">
      <c r="A2866" t="str">
        <f>"0611833128100"</f>
        <v>0611833128100</v>
      </c>
      <c r="B2866" t="str">
        <f>"LK0478"</f>
        <v>LK0478</v>
      </c>
      <c r="C2866" t="s">
        <v>2787</v>
      </c>
    </row>
    <row r="2867" spans="1:3" x14ac:dyDescent="0.25">
      <c r="A2867" t="str">
        <f>"0611861191050"</f>
        <v>0611861191050</v>
      </c>
      <c r="B2867" t="str">
        <f>"CR3493"</f>
        <v>CR3493</v>
      </c>
      <c r="C2867" t="s">
        <v>2788</v>
      </c>
    </row>
    <row r="2868" spans="1:3" x14ac:dyDescent="0.25">
      <c r="A2868" t="str">
        <f>"0611833130100"</f>
        <v>0611833130100</v>
      </c>
      <c r="B2868" t="str">
        <f>"LK3726"</f>
        <v>LK3726</v>
      </c>
      <c r="C2868" t="s">
        <v>2789</v>
      </c>
    </row>
    <row r="2869" spans="1:3" x14ac:dyDescent="0.25">
      <c r="A2869" t="str">
        <f>"0611861192050"</f>
        <v>0611861192050</v>
      </c>
      <c r="B2869" t="str">
        <f>"CE0766"</f>
        <v>CE0766</v>
      </c>
      <c r="C2869" t="s">
        <v>2790</v>
      </c>
    </row>
    <row r="2870" spans="1:3" x14ac:dyDescent="0.25">
      <c r="A2870" t="str">
        <f>"0611833141100"</f>
        <v>0611833141100</v>
      </c>
      <c r="B2870" t="str">
        <f>"LS0014"</f>
        <v>LS0014</v>
      </c>
      <c r="C2870" t="s">
        <v>2840</v>
      </c>
    </row>
    <row r="2871" spans="1:3" x14ac:dyDescent="0.25">
      <c r="A2871" t="str">
        <f>"0611833131100"</f>
        <v>0611833131100</v>
      </c>
      <c r="B2871" t="str">
        <f>"LK5197"</f>
        <v>LK5197</v>
      </c>
      <c r="C2871" t="s">
        <v>2792</v>
      </c>
    </row>
    <row r="2872" spans="1:3" x14ac:dyDescent="0.25">
      <c r="A2872" t="str">
        <f>"0611833132100"</f>
        <v>0611833132100</v>
      </c>
      <c r="B2872" t="str">
        <f>"LK2604"</f>
        <v>LK2604</v>
      </c>
      <c r="C2872" t="s">
        <v>2793</v>
      </c>
    </row>
    <row r="2873" spans="1:3" x14ac:dyDescent="0.25">
      <c r="A2873" t="str">
        <f>"0611833135100"</f>
        <v>0611833135100</v>
      </c>
      <c r="B2873" t="str">
        <f>"LK4964"</f>
        <v>LK4964</v>
      </c>
      <c r="C2873" t="s">
        <v>2794</v>
      </c>
    </row>
    <row r="2874" spans="1:3" x14ac:dyDescent="0.25">
      <c r="A2874" t="str">
        <f>"0611833136100"</f>
        <v>0611833136100</v>
      </c>
      <c r="B2874" t="str">
        <f>"LK3309"</f>
        <v>LK3309</v>
      </c>
      <c r="C2874" t="s">
        <v>2795</v>
      </c>
    </row>
    <row r="2875" spans="1:3" x14ac:dyDescent="0.25">
      <c r="A2875" t="str">
        <f>"0611833143100"</f>
        <v>0611833143100</v>
      </c>
      <c r="B2875" t="str">
        <f>"LQ3693"</f>
        <v>LQ3693</v>
      </c>
      <c r="C2875" t="s">
        <v>2800</v>
      </c>
    </row>
    <row r="2876" spans="1:3" x14ac:dyDescent="0.25">
      <c r="A2876" t="str">
        <f>"0611833145100"</f>
        <v>0611833145100</v>
      </c>
      <c r="B2876" t="str">
        <f>"LQ3695"</f>
        <v>LQ3695</v>
      </c>
      <c r="C2876" t="s">
        <v>2801</v>
      </c>
    </row>
    <row r="2877" spans="1:3" x14ac:dyDescent="0.25">
      <c r="A2877" t="str">
        <f>"0611833146100"</f>
        <v>0611833146100</v>
      </c>
      <c r="B2877" t="str">
        <f>"LB2028"</f>
        <v>LB2028</v>
      </c>
      <c r="C2877" t="s">
        <v>2802</v>
      </c>
    </row>
    <row r="2878" spans="1:3" x14ac:dyDescent="0.25">
      <c r="A2878" t="str">
        <f>"0611833152100"</f>
        <v>0611833152100</v>
      </c>
      <c r="B2878" t="str">
        <f>"LK5450"</f>
        <v>LK5450</v>
      </c>
      <c r="C2878" t="s">
        <v>2796</v>
      </c>
    </row>
    <row r="2879" spans="1:3" x14ac:dyDescent="0.25">
      <c r="A2879" t="str">
        <f>"0611833149100"</f>
        <v>0611833149100</v>
      </c>
      <c r="B2879" t="str">
        <f>"LK3801"</f>
        <v>LK3801</v>
      </c>
      <c r="C2879" t="s">
        <v>2803</v>
      </c>
    </row>
    <row r="2880" spans="1:3" x14ac:dyDescent="0.25">
      <c r="A2880" t="str">
        <f>"0611833150100"</f>
        <v>0611833150100</v>
      </c>
      <c r="B2880" t="str">
        <f>"LK3210"</f>
        <v>LK3210</v>
      </c>
      <c r="C2880" t="s">
        <v>2804</v>
      </c>
    </row>
    <row r="2881" spans="1:3" x14ac:dyDescent="0.25">
      <c r="A2881" t="str">
        <f>"0611833151100"</f>
        <v>0611833151100</v>
      </c>
      <c r="B2881" t="str">
        <f>"LK3728"</f>
        <v>LK3728</v>
      </c>
      <c r="C2881" t="s">
        <v>2805</v>
      </c>
    </row>
    <row r="2882" spans="1:3" x14ac:dyDescent="0.25">
      <c r="A2882" t="str">
        <f>"0611861193050"</f>
        <v>0611861193050</v>
      </c>
      <c r="B2882" t="str">
        <f>"CR3495"</f>
        <v>CR3495</v>
      </c>
      <c r="C2882" t="s">
        <v>2797</v>
      </c>
    </row>
    <row r="2883" spans="1:3" x14ac:dyDescent="0.25">
      <c r="A2883" t="str">
        <f>"0611884100050"</f>
        <v>0611884100050</v>
      </c>
      <c r="B2883" t="str">
        <f>"CR5369"</f>
        <v>CR5369</v>
      </c>
      <c r="C2883" t="s">
        <v>2808</v>
      </c>
    </row>
    <row r="2884" spans="1:3" x14ac:dyDescent="0.25">
      <c r="A2884" t="str">
        <f>"0611884102050"</f>
        <v>0611884102050</v>
      </c>
      <c r="B2884" t="str">
        <f>"CR5360"</f>
        <v>CR5360</v>
      </c>
      <c r="C2884" t="s">
        <v>2810</v>
      </c>
    </row>
    <row r="2885" spans="1:3" x14ac:dyDescent="0.25">
      <c r="A2885" t="str">
        <f>"0611884103050"</f>
        <v>0611884103050</v>
      </c>
      <c r="B2885" t="str">
        <f>"CR5352"</f>
        <v>CR5352</v>
      </c>
      <c r="C2885" t="s">
        <v>2812</v>
      </c>
    </row>
    <row r="2886" spans="1:3" x14ac:dyDescent="0.25">
      <c r="A2886" t="str">
        <f>"0611884104050"</f>
        <v>0611884104050</v>
      </c>
      <c r="B2886" t="str">
        <f>"CR5341"</f>
        <v>CR5341</v>
      </c>
      <c r="C2886" t="s">
        <v>2815</v>
      </c>
    </row>
    <row r="2887" spans="1:3" x14ac:dyDescent="0.25">
      <c r="A2887" t="str">
        <f>"0611884105050"</f>
        <v>0611884105050</v>
      </c>
      <c r="B2887" t="str">
        <f>"CR5353"</f>
        <v>CR5353</v>
      </c>
      <c r="C2887" t="s">
        <v>2816</v>
      </c>
    </row>
    <row r="2888" spans="1:3" x14ac:dyDescent="0.25">
      <c r="A2888" t="str">
        <f>"0611906540050"</f>
        <v>0611906540050</v>
      </c>
      <c r="B2888" t="str">
        <f>"CR5463"</f>
        <v>CR5463</v>
      </c>
      <c r="C2888" t="s">
        <v>2807</v>
      </c>
    </row>
    <row r="2889" spans="1:3" x14ac:dyDescent="0.25">
      <c r="A2889" t="str">
        <f>"0611884101050"</f>
        <v>0611884101050</v>
      </c>
      <c r="B2889" t="str">
        <f>"CR5370"</f>
        <v>CR5370</v>
      </c>
      <c r="C2889" t="s">
        <v>2809</v>
      </c>
    </row>
    <row r="2890" spans="1:3" x14ac:dyDescent="0.25">
      <c r="A2890" t="str">
        <f>"0611893553050"</f>
        <v>0611893553050</v>
      </c>
      <c r="B2890" t="str">
        <f>"CR5440"</f>
        <v>CR5440</v>
      </c>
      <c r="C2890" t="s">
        <v>2811</v>
      </c>
    </row>
    <row r="2891" spans="1:3" x14ac:dyDescent="0.25">
      <c r="A2891" t="str">
        <f>"0611906541050"</f>
        <v>0611906541050</v>
      </c>
      <c r="B2891" t="str">
        <f>"CR5464"</f>
        <v>CR5464</v>
      </c>
      <c r="C2891" t="s">
        <v>2813</v>
      </c>
    </row>
    <row r="2892" spans="1:3" x14ac:dyDescent="0.25">
      <c r="A2892" t="str">
        <f>"0611906542050"</f>
        <v>0611906542050</v>
      </c>
      <c r="B2892" t="str">
        <f>"CR5468"</f>
        <v>CR5468</v>
      </c>
      <c r="C2892" t="s">
        <v>2814</v>
      </c>
    </row>
    <row r="2893" spans="1:3" x14ac:dyDescent="0.25">
      <c r="A2893" t="str">
        <f>"0611833153100"</f>
        <v>0611833153100</v>
      </c>
      <c r="B2893" t="str">
        <f>"LB2035"</f>
        <v>LB2035</v>
      </c>
      <c r="C2893" t="s">
        <v>2791</v>
      </c>
    </row>
    <row r="2894" spans="1:3" x14ac:dyDescent="0.25">
      <c r="A2894" t="str">
        <f>"0611833155100"</f>
        <v>0611833155100</v>
      </c>
      <c r="B2894" t="str">
        <f>"LK4170"</f>
        <v>LK4170</v>
      </c>
      <c r="C2894" t="s">
        <v>2817</v>
      </c>
    </row>
    <row r="2895" spans="1:3" x14ac:dyDescent="0.25">
      <c r="A2895" t="str">
        <f>"0611833156100"</f>
        <v>0611833156100</v>
      </c>
      <c r="B2895" t="str">
        <f>"LQ3696"</f>
        <v>LQ3696</v>
      </c>
      <c r="C2895" t="s">
        <v>2818</v>
      </c>
    </row>
    <row r="2896" spans="1:3" x14ac:dyDescent="0.25">
      <c r="A2896" t="str">
        <f>"0611861194050"</f>
        <v>0611861194050</v>
      </c>
      <c r="B2896" t="str">
        <f>"CR3956"</f>
        <v>CR3956</v>
      </c>
      <c r="C2896" t="s">
        <v>2819</v>
      </c>
    </row>
    <row r="2897" spans="1:3" x14ac:dyDescent="0.25">
      <c r="A2897" t="str">
        <f>"0611861195050"</f>
        <v>0611861195050</v>
      </c>
      <c r="B2897" t="str">
        <f>"CR3496"</f>
        <v>CR3496</v>
      </c>
      <c r="C2897" t="s">
        <v>2820</v>
      </c>
    </row>
    <row r="2898" spans="1:3" x14ac:dyDescent="0.25">
      <c r="A2898" t="str">
        <f>"0611833157100"</f>
        <v>0611833157100</v>
      </c>
      <c r="B2898" t="str">
        <f>"LQ3697"</f>
        <v>LQ3697</v>
      </c>
      <c r="C2898" t="s">
        <v>2821</v>
      </c>
    </row>
    <row r="2899" spans="1:3" x14ac:dyDescent="0.25">
      <c r="A2899" t="str">
        <f>"0611861196050"</f>
        <v>0611861196050</v>
      </c>
      <c r="B2899" t="str">
        <f>"CR3497"</f>
        <v>CR3497</v>
      </c>
      <c r="C2899" t="s">
        <v>2822</v>
      </c>
    </row>
    <row r="2900" spans="1:3" x14ac:dyDescent="0.25">
      <c r="A2900" t="str">
        <f>"0611833158100"</f>
        <v>0611833158100</v>
      </c>
      <c r="B2900" t="str">
        <f>"LB2053"</f>
        <v>LB2053</v>
      </c>
      <c r="C2900" t="s">
        <v>2823</v>
      </c>
    </row>
    <row r="2901" spans="1:3" x14ac:dyDescent="0.25">
      <c r="A2901" t="str">
        <f>"0611833159100"</f>
        <v>0611833159100</v>
      </c>
      <c r="B2901" t="str">
        <f>"LK3698"</f>
        <v>LK3698</v>
      </c>
      <c r="C2901" t="s">
        <v>2824</v>
      </c>
    </row>
    <row r="2902" spans="1:3" x14ac:dyDescent="0.25">
      <c r="A2902" t="str">
        <f>"0611861197050"</f>
        <v>0611861197050</v>
      </c>
      <c r="B2902" t="str">
        <f>"CR3498"</f>
        <v>CR3498</v>
      </c>
      <c r="C2902" t="s">
        <v>2825</v>
      </c>
    </row>
    <row r="2903" spans="1:3" x14ac:dyDescent="0.25">
      <c r="A2903" t="str">
        <f>"0611833160100"</f>
        <v>0611833160100</v>
      </c>
      <c r="B2903" t="str">
        <f>"LK4255"</f>
        <v>LK4255</v>
      </c>
      <c r="C2903" t="s">
        <v>2826</v>
      </c>
    </row>
    <row r="2904" spans="1:3" x14ac:dyDescent="0.25">
      <c r="A2904" t="str">
        <f>"0611833163100"</f>
        <v>0611833163100</v>
      </c>
      <c r="B2904" t="str">
        <f>"LQ3699"</f>
        <v>LQ3699</v>
      </c>
      <c r="C2904" t="s">
        <v>2827</v>
      </c>
    </row>
    <row r="2905" spans="1:3" x14ac:dyDescent="0.25">
      <c r="A2905" t="str">
        <f>"0611833164100"</f>
        <v>0611833164100</v>
      </c>
      <c r="B2905" t="str">
        <f>"LQ3398"</f>
        <v>LQ3398</v>
      </c>
      <c r="C2905" t="s">
        <v>2828</v>
      </c>
    </row>
    <row r="2906" spans="1:3" x14ac:dyDescent="0.25">
      <c r="A2906" t="str">
        <f>"0611833165100"</f>
        <v>0611833165100</v>
      </c>
      <c r="B2906" t="str">
        <f>"LK0673"</f>
        <v>LK0673</v>
      </c>
      <c r="C2906" t="s">
        <v>2829</v>
      </c>
    </row>
    <row r="2907" spans="1:3" x14ac:dyDescent="0.25">
      <c r="A2907" t="str">
        <f>"0611861198050"</f>
        <v>0611861198050</v>
      </c>
      <c r="B2907" t="str">
        <f>"CR3499"</f>
        <v>CR3499</v>
      </c>
      <c r="C2907" t="s">
        <v>2830</v>
      </c>
    </row>
    <row r="2908" spans="1:3" x14ac:dyDescent="0.25">
      <c r="A2908" t="str">
        <f>"0611833139100"</f>
        <v>0611833139100</v>
      </c>
      <c r="B2908" t="str">
        <f>"MB1450"</f>
        <v>MB1450</v>
      </c>
      <c r="C2908" t="s">
        <v>2838</v>
      </c>
    </row>
    <row r="2909" spans="1:3" x14ac:dyDescent="0.25">
      <c r="A2909" t="str">
        <f>"0611833140025"</f>
        <v>0611833140025</v>
      </c>
      <c r="B2909" t="str">
        <f>"MC2203"</f>
        <v>MC2203</v>
      </c>
      <c r="C2909" t="s">
        <v>2839</v>
      </c>
    </row>
    <row r="2910" spans="1:3" x14ac:dyDescent="0.25">
      <c r="A2910" t="str">
        <f>"0611833166100"</f>
        <v>0611833166100</v>
      </c>
      <c r="B2910" t="str">
        <f>"LK0680"</f>
        <v>LK0680</v>
      </c>
      <c r="C2910" t="s">
        <v>2831</v>
      </c>
    </row>
    <row r="2911" spans="1:3" x14ac:dyDescent="0.25">
      <c r="A2911" t="str">
        <f>"0611833167100"</f>
        <v>0611833167100</v>
      </c>
      <c r="B2911" t="str">
        <f>"LK0677"</f>
        <v>LK0677</v>
      </c>
      <c r="C2911" t="s">
        <v>2832</v>
      </c>
    </row>
    <row r="2912" spans="1:3" x14ac:dyDescent="0.25">
      <c r="A2912" t="str">
        <f>"0611833169100"</f>
        <v>0611833169100</v>
      </c>
      <c r="B2912" t="str">
        <f>"LK0679"</f>
        <v>LK0679</v>
      </c>
      <c r="C2912" t="s">
        <v>2833</v>
      </c>
    </row>
    <row r="2913" spans="1:3" x14ac:dyDescent="0.25">
      <c r="A2913" t="str">
        <f>"0611833170100"</f>
        <v>0611833170100</v>
      </c>
      <c r="B2913" t="str">
        <f>"LK3729"</f>
        <v>LK3729</v>
      </c>
      <c r="C2913" t="s">
        <v>2836</v>
      </c>
    </row>
    <row r="2914" spans="1:3" x14ac:dyDescent="0.25">
      <c r="A2914" t="str">
        <f>"0611833171100"</f>
        <v>0611833171100</v>
      </c>
      <c r="B2914" t="str">
        <f>"LQ3392"</f>
        <v>LQ3392</v>
      </c>
      <c r="C2914" t="s">
        <v>2837</v>
      </c>
    </row>
    <row r="2915" spans="1:3" x14ac:dyDescent="0.25">
      <c r="A2915" t="str">
        <f>"0611833174100"</f>
        <v>0611833174100</v>
      </c>
      <c r="B2915" t="str">
        <f>"LK4256"</f>
        <v>LK4256</v>
      </c>
      <c r="C2915" t="s">
        <v>2834</v>
      </c>
    </row>
    <row r="2916" spans="1:3" x14ac:dyDescent="0.25">
      <c r="A2916" t="str">
        <f>"0611906707100"</f>
        <v>0611906707100</v>
      </c>
      <c r="B2916" t="str">
        <f>"LQ3950"</f>
        <v>LQ3950</v>
      </c>
      <c r="C2916" t="s">
        <v>2835</v>
      </c>
    </row>
    <row r="2917" spans="1:3" x14ac:dyDescent="0.25">
      <c r="A2917" t="str">
        <f>"0611861199050"</f>
        <v>0611861199050</v>
      </c>
      <c r="B2917" t="str">
        <f>"CR3669"</f>
        <v>CR3669</v>
      </c>
      <c r="C2917" t="s">
        <v>2841</v>
      </c>
    </row>
    <row r="2918" spans="1:3" x14ac:dyDescent="0.25">
      <c r="A2918" t="str">
        <f>"0611861200050"</f>
        <v>0611861200050</v>
      </c>
      <c r="B2918" t="str">
        <f>"CR3670"</f>
        <v>CR3670</v>
      </c>
      <c r="C2918" t="s">
        <v>2842</v>
      </c>
    </row>
    <row r="2919" spans="1:3" x14ac:dyDescent="0.25">
      <c r="A2919" t="str">
        <f>"0611861201050"</f>
        <v>0611861201050</v>
      </c>
      <c r="B2919" t="str">
        <f>"CR3671"</f>
        <v>CR3671</v>
      </c>
      <c r="C2919" t="s">
        <v>2843</v>
      </c>
    </row>
    <row r="2920" spans="1:3" x14ac:dyDescent="0.25">
      <c r="A2920" t="str">
        <f>"0611861202050"</f>
        <v>0611861202050</v>
      </c>
      <c r="B2920" t="str">
        <f>"CR3672"</f>
        <v>CR3672</v>
      </c>
      <c r="C2920" t="s">
        <v>2844</v>
      </c>
    </row>
    <row r="2921" spans="1:3" x14ac:dyDescent="0.25">
      <c r="A2921" t="str">
        <f>"0611861203050"</f>
        <v>0611861203050</v>
      </c>
      <c r="B2921" t="str">
        <f>"CR3500"</f>
        <v>CR3500</v>
      </c>
      <c r="C2921" t="s">
        <v>2845</v>
      </c>
    </row>
    <row r="2922" spans="1:3" x14ac:dyDescent="0.25">
      <c r="A2922" t="str">
        <f>"0611833176100"</f>
        <v>0611833176100</v>
      </c>
      <c r="B2922" t="str">
        <f>"LQ3702"</f>
        <v>LQ3702</v>
      </c>
      <c r="C2922" t="s">
        <v>13808</v>
      </c>
    </row>
    <row r="2923" spans="1:3" x14ac:dyDescent="0.25">
      <c r="A2923" t="str">
        <f>"0611861204050"</f>
        <v>0611861204050</v>
      </c>
      <c r="B2923" t="str">
        <f>"CR3501"</f>
        <v>CR3501</v>
      </c>
      <c r="C2923" t="s">
        <v>2846</v>
      </c>
    </row>
    <row r="2924" spans="1:3" x14ac:dyDescent="0.25">
      <c r="A2924" t="str">
        <f>"0611861205050"</f>
        <v>0611861205050</v>
      </c>
      <c r="B2924" t="str">
        <f>"CR3443"</f>
        <v>CR3443</v>
      </c>
      <c r="C2924" t="s">
        <v>2847</v>
      </c>
    </row>
    <row r="2925" spans="1:3" x14ac:dyDescent="0.25">
      <c r="A2925" t="str">
        <f>"0611861206050"</f>
        <v>0611861206050</v>
      </c>
      <c r="B2925" t="str">
        <f>"CR3444"</f>
        <v>CR3444</v>
      </c>
      <c r="C2925" t="s">
        <v>2848</v>
      </c>
    </row>
    <row r="2926" spans="1:3" x14ac:dyDescent="0.25">
      <c r="A2926" t="str">
        <f>"0611833180100"</f>
        <v>0611833180100</v>
      </c>
      <c r="B2926" t="str">
        <f>"LB2150"</f>
        <v>LB2150</v>
      </c>
      <c r="C2926" t="s">
        <v>2849</v>
      </c>
    </row>
    <row r="2927" spans="1:3" x14ac:dyDescent="0.25">
      <c r="A2927" t="str">
        <f>"0611861207050"</f>
        <v>0611861207050</v>
      </c>
      <c r="B2927" t="str">
        <f>"CR2119"</f>
        <v>CR2119</v>
      </c>
      <c r="C2927" t="s">
        <v>2799</v>
      </c>
    </row>
    <row r="2928" spans="1:3" x14ac:dyDescent="0.25">
      <c r="A2928" t="str">
        <f>"0611833182100"</f>
        <v>0611833182100</v>
      </c>
      <c r="B2928" t="str">
        <f>"LK4261"</f>
        <v>LK4261</v>
      </c>
      <c r="C2928" t="s">
        <v>2798</v>
      </c>
    </row>
    <row r="2929" spans="1:3" x14ac:dyDescent="0.25">
      <c r="A2929" t="str">
        <f>"0611833183100"</f>
        <v>0611833183100</v>
      </c>
      <c r="B2929" t="str">
        <f>"LK5739"</f>
        <v>LK5739</v>
      </c>
      <c r="C2929" t="s">
        <v>2850</v>
      </c>
    </row>
    <row r="2930" spans="1:3" x14ac:dyDescent="0.25">
      <c r="A2930" t="str">
        <f>"0611833184100"</f>
        <v>0611833184100</v>
      </c>
      <c r="B2930" t="str">
        <f>"LK3802"</f>
        <v>LK3802</v>
      </c>
      <c r="C2930" t="s">
        <v>2851</v>
      </c>
    </row>
    <row r="2931" spans="1:3" x14ac:dyDescent="0.25">
      <c r="A2931" t="str">
        <f>"0611833186100"</f>
        <v>0611833186100</v>
      </c>
      <c r="B2931" t="str">
        <f>"LK5451"</f>
        <v>LK5451</v>
      </c>
      <c r="C2931" t="s">
        <v>2852</v>
      </c>
    </row>
    <row r="2932" spans="1:3" x14ac:dyDescent="0.25">
      <c r="A2932" t="str">
        <f>"0611833187100"</f>
        <v>0611833187100</v>
      </c>
      <c r="B2932" t="str">
        <f>"LK5452"</f>
        <v>LK5452</v>
      </c>
      <c r="C2932" t="s">
        <v>2853</v>
      </c>
    </row>
    <row r="2933" spans="1:3" x14ac:dyDescent="0.25">
      <c r="A2933" t="str">
        <f>"0611833188100"</f>
        <v>0611833188100</v>
      </c>
      <c r="B2933" t="str">
        <f>"LK5453"</f>
        <v>LK5453</v>
      </c>
      <c r="C2933" t="s">
        <v>2854</v>
      </c>
    </row>
    <row r="2934" spans="1:3" x14ac:dyDescent="0.25">
      <c r="A2934" t="str">
        <f>"0611833189100"</f>
        <v>0611833189100</v>
      </c>
      <c r="B2934" t="str">
        <f>"LK5454"</f>
        <v>LK5454</v>
      </c>
      <c r="C2934" t="s">
        <v>2855</v>
      </c>
    </row>
    <row r="2935" spans="1:3" x14ac:dyDescent="0.25">
      <c r="A2935" t="str">
        <f>"0611833190100"</f>
        <v>0611833190100</v>
      </c>
      <c r="B2935" t="str">
        <f>"LK5556"</f>
        <v>LK5556</v>
      </c>
      <c r="C2935" t="s">
        <v>2856</v>
      </c>
    </row>
    <row r="2936" spans="1:3" x14ac:dyDescent="0.25">
      <c r="A2936" t="str">
        <f>"0611833191100"</f>
        <v>0611833191100</v>
      </c>
      <c r="B2936" t="str">
        <f>"LK1541"</f>
        <v>LK1541</v>
      </c>
      <c r="C2936" t="s">
        <v>2857</v>
      </c>
    </row>
    <row r="2937" spans="1:3" x14ac:dyDescent="0.25">
      <c r="A2937" t="str">
        <f>"0611833192100"</f>
        <v>0611833192100</v>
      </c>
      <c r="B2937" t="str">
        <f>"LK1542"</f>
        <v>LK1542</v>
      </c>
      <c r="C2937" t="s">
        <v>2858</v>
      </c>
    </row>
    <row r="2938" spans="1:3" x14ac:dyDescent="0.25">
      <c r="A2938" t="str">
        <f>"0611833193100"</f>
        <v>0611833193100</v>
      </c>
      <c r="B2938" t="str">
        <f>"LK1543"</f>
        <v>LK1543</v>
      </c>
      <c r="C2938" t="s">
        <v>2859</v>
      </c>
    </row>
    <row r="2939" spans="1:3" x14ac:dyDescent="0.25">
      <c r="A2939" t="str">
        <f>"0611833194100"</f>
        <v>0611833194100</v>
      </c>
      <c r="B2939" t="str">
        <f>"LK3803"</f>
        <v>LK3803</v>
      </c>
      <c r="C2939" t="s">
        <v>2860</v>
      </c>
    </row>
    <row r="2940" spans="1:3" x14ac:dyDescent="0.25">
      <c r="A2940" t="str">
        <f>"0611833195100"</f>
        <v>0611833195100</v>
      </c>
      <c r="B2940" t="str">
        <f>"LK1544"</f>
        <v>LK1544</v>
      </c>
      <c r="C2940" t="s">
        <v>2861</v>
      </c>
    </row>
    <row r="2941" spans="1:3" x14ac:dyDescent="0.25">
      <c r="A2941" t="str">
        <f>"0611833196100"</f>
        <v>0611833196100</v>
      </c>
      <c r="B2941" t="str">
        <f>"LK4646"</f>
        <v>LK4646</v>
      </c>
      <c r="C2941" t="s">
        <v>2862</v>
      </c>
    </row>
    <row r="2942" spans="1:3" x14ac:dyDescent="0.25">
      <c r="A2942" t="str">
        <f>"0611861208050"</f>
        <v>0611861208050</v>
      </c>
      <c r="B2942" t="str">
        <f>"CR3502"</f>
        <v>CR3502</v>
      </c>
      <c r="C2942" t="s">
        <v>2863</v>
      </c>
    </row>
    <row r="2943" spans="1:3" x14ac:dyDescent="0.25">
      <c r="A2943" t="str">
        <f>"0611861209050"</f>
        <v>0611861209050</v>
      </c>
      <c r="B2943" t="str">
        <f>"CR4797"</f>
        <v>CR4797</v>
      </c>
      <c r="C2943" t="s">
        <v>2864</v>
      </c>
    </row>
    <row r="2944" spans="1:3" x14ac:dyDescent="0.25">
      <c r="A2944" t="str">
        <f>"0611833197100"</f>
        <v>0611833197100</v>
      </c>
      <c r="B2944" t="str">
        <f>"LK6328"</f>
        <v>LK6328</v>
      </c>
      <c r="C2944" t="s">
        <v>2865</v>
      </c>
    </row>
    <row r="2945" spans="1:3" x14ac:dyDescent="0.25">
      <c r="A2945" t="str">
        <f>"0611833198100"</f>
        <v>0611833198100</v>
      </c>
      <c r="B2945" t="str">
        <f>"LK4797"</f>
        <v>LK4797</v>
      </c>
      <c r="C2945" t="s">
        <v>2866</v>
      </c>
    </row>
    <row r="2946" spans="1:3" x14ac:dyDescent="0.25">
      <c r="A2946" t="str">
        <f>"0611861210050"</f>
        <v>0611861210050</v>
      </c>
      <c r="B2946" t="str">
        <f>"CR3503"</f>
        <v>CR3503</v>
      </c>
      <c r="C2946" t="s">
        <v>2867</v>
      </c>
    </row>
    <row r="2947" spans="1:3" x14ac:dyDescent="0.25">
      <c r="A2947" t="str">
        <f>"0611861211050"</f>
        <v>0611861211050</v>
      </c>
      <c r="B2947" t="str">
        <f>"CR3504"</f>
        <v>CR3504</v>
      </c>
      <c r="C2947" t="s">
        <v>2868</v>
      </c>
    </row>
    <row r="2948" spans="1:3" x14ac:dyDescent="0.25">
      <c r="A2948" t="str">
        <f>"0611861212050"</f>
        <v>0611861212050</v>
      </c>
      <c r="B2948" t="str">
        <f>"CR3505"</f>
        <v>CR3505</v>
      </c>
      <c r="C2948" t="s">
        <v>2869</v>
      </c>
    </row>
    <row r="2949" spans="1:3" x14ac:dyDescent="0.25">
      <c r="A2949" t="str">
        <f>"0611861213050"</f>
        <v>0611861213050</v>
      </c>
      <c r="B2949" t="str">
        <f>"CR2804"</f>
        <v>CR2804</v>
      </c>
      <c r="C2949" t="s">
        <v>2872</v>
      </c>
    </row>
    <row r="2950" spans="1:3" x14ac:dyDescent="0.25">
      <c r="A2950" t="str">
        <f>"0611861214050"</f>
        <v>0611861214050</v>
      </c>
      <c r="B2950" t="str">
        <f>"CR3856"</f>
        <v>CR3856</v>
      </c>
      <c r="C2950" t="s">
        <v>2873</v>
      </c>
    </row>
    <row r="2951" spans="1:3" x14ac:dyDescent="0.25">
      <c r="A2951" t="str">
        <f>"0611861215050"</f>
        <v>0611861215050</v>
      </c>
      <c r="B2951" t="str">
        <f>"CR5165"</f>
        <v>CR5165</v>
      </c>
      <c r="C2951" t="s">
        <v>2874</v>
      </c>
    </row>
    <row r="2952" spans="1:3" x14ac:dyDescent="0.25">
      <c r="A2952" t="str">
        <f>"0611861216050"</f>
        <v>0611861216050</v>
      </c>
      <c r="B2952" t="str">
        <f>"CR4081"</f>
        <v>CR4081</v>
      </c>
      <c r="C2952" t="s">
        <v>2875</v>
      </c>
    </row>
    <row r="2953" spans="1:3" x14ac:dyDescent="0.25">
      <c r="A2953" t="str">
        <f>"0611861217050"</f>
        <v>0611861217050</v>
      </c>
      <c r="B2953" t="str">
        <f>"CR4940"</f>
        <v>CR4940</v>
      </c>
      <c r="C2953" t="s">
        <v>2876</v>
      </c>
    </row>
    <row r="2954" spans="1:3" x14ac:dyDescent="0.25">
      <c r="A2954" t="str">
        <f>"0611861218050"</f>
        <v>0611861218050</v>
      </c>
      <c r="B2954" t="str">
        <f>"CR2116"</f>
        <v>CR2116</v>
      </c>
      <c r="C2954" t="s">
        <v>2877</v>
      </c>
    </row>
    <row r="2955" spans="1:3" x14ac:dyDescent="0.25">
      <c r="A2955" t="str">
        <f>"0611861219050"</f>
        <v>0611861219050</v>
      </c>
      <c r="B2955" t="str">
        <f>"CR3673"</f>
        <v>CR3673</v>
      </c>
      <c r="C2955" t="s">
        <v>2878</v>
      </c>
    </row>
    <row r="2956" spans="1:3" x14ac:dyDescent="0.25">
      <c r="A2956" t="str">
        <f>"0611833199100"</f>
        <v>0611833199100</v>
      </c>
      <c r="B2956" t="str">
        <f>"LQ3259"</f>
        <v>LQ3259</v>
      </c>
      <c r="C2956" t="s">
        <v>2879</v>
      </c>
    </row>
    <row r="2957" spans="1:3" x14ac:dyDescent="0.25">
      <c r="A2957" t="str">
        <f>"0611861220050"</f>
        <v>0611861220050</v>
      </c>
      <c r="B2957" t="str">
        <f>"CR2118"</f>
        <v>CR2118</v>
      </c>
      <c r="C2957" t="s">
        <v>2880</v>
      </c>
    </row>
    <row r="2958" spans="1:3" x14ac:dyDescent="0.25">
      <c r="A2958" t="str">
        <f>"0611861221050"</f>
        <v>0611861221050</v>
      </c>
      <c r="B2958" t="str">
        <f>"CR3230"</f>
        <v>CR3230</v>
      </c>
      <c r="C2958" t="s">
        <v>2881</v>
      </c>
    </row>
    <row r="2959" spans="1:3" x14ac:dyDescent="0.25">
      <c r="A2959" t="str">
        <f>"0611861222050"</f>
        <v>0611861222050</v>
      </c>
      <c r="B2959" t="str">
        <f>"CR3674"</f>
        <v>CR3674</v>
      </c>
      <c r="C2959" t="s">
        <v>2882</v>
      </c>
    </row>
    <row r="2960" spans="1:3" x14ac:dyDescent="0.25">
      <c r="A2960" t="str">
        <f>"0611861223050"</f>
        <v>0611861223050</v>
      </c>
      <c r="B2960" t="str">
        <f>"CR2806"</f>
        <v>CR2806</v>
      </c>
      <c r="C2960" t="s">
        <v>2884</v>
      </c>
    </row>
    <row r="2961" spans="1:3" x14ac:dyDescent="0.25">
      <c r="A2961" t="str">
        <f>"0611861224050"</f>
        <v>0611861224050</v>
      </c>
      <c r="B2961" t="str">
        <f>"CR3857"</f>
        <v>CR3857</v>
      </c>
      <c r="C2961" t="s">
        <v>2885</v>
      </c>
    </row>
    <row r="2962" spans="1:3" x14ac:dyDescent="0.25">
      <c r="A2962" t="str">
        <f>"0611861225050"</f>
        <v>0611861225050</v>
      </c>
      <c r="B2962" t="str">
        <f>"CR4941"</f>
        <v>CR4941</v>
      </c>
      <c r="C2962" t="s">
        <v>2886</v>
      </c>
    </row>
    <row r="2963" spans="1:3" x14ac:dyDescent="0.25">
      <c r="A2963" t="str">
        <f>"0611861226050"</f>
        <v>0611861226050</v>
      </c>
      <c r="B2963" t="str">
        <f>"CR5038"</f>
        <v>CR5038</v>
      </c>
      <c r="C2963" t="s">
        <v>2888</v>
      </c>
    </row>
    <row r="2964" spans="1:3" x14ac:dyDescent="0.25">
      <c r="A2964" t="str">
        <f>"0611833200100"</f>
        <v>0611833200100</v>
      </c>
      <c r="B2964" t="str">
        <f>"LQ3262"</f>
        <v>LQ3262</v>
      </c>
      <c r="C2964" t="s">
        <v>2889</v>
      </c>
    </row>
    <row r="2965" spans="1:3" x14ac:dyDescent="0.25">
      <c r="A2965" t="str">
        <f>"0611861234050"</f>
        <v>0611861234050</v>
      </c>
      <c r="B2965" t="str">
        <f>"CR2121"</f>
        <v>CR2121</v>
      </c>
      <c r="C2965" t="s">
        <v>2890</v>
      </c>
    </row>
    <row r="2966" spans="1:3" x14ac:dyDescent="0.25">
      <c r="A2966" t="str">
        <f>"0611861227050"</f>
        <v>0611861227050</v>
      </c>
      <c r="B2966" t="str">
        <f>"CR3675"</f>
        <v>CR3675</v>
      </c>
      <c r="C2966" t="s">
        <v>2891</v>
      </c>
    </row>
    <row r="2967" spans="1:3" x14ac:dyDescent="0.25">
      <c r="A2967" t="str">
        <f>"0611861257050"</f>
        <v>0611861257050</v>
      </c>
      <c r="B2967" t="str">
        <f>"CR2123"</f>
        <v>CR2123</v>
      </c>
      <c r="C2967" t="s">
        <v>2892</v>
      </c>
    </row>
    <row r="2968" spans="1:3" x14ac:dyDescent="0.25">
      <c r="A2968" t="str">
        <f>"0611861228050"</f>
        <v>0611861228050</v>
      </c>
      <c r="B2968" t="str">
        <f>"CR3425"</f>
        <v>CR3425</v>
      </c>
      <c r="C2968" t="s">
        <v>2893</v>
      </c>
    </row>
    <row r="2969" spans="1:3" x14ac:dyDescent="0.25">
      <c r="A2969" t="str">
        <f>"0611861229050"</f>
        <v>0611861229050</v>
      </c>
      <c r="B2969" t="str">
        <f>"CR4942"</f>
        <v>CR4942</v>
      </c>
      <c r="C2969" t="s">
        <v>2894</v>
      </c>
    </row>
    <row r="2970" spans="1:3" x14ac:dyDescent="0.25">
      <c r="A2970" t="str">
        <f>"0611861230050"</f>
        <v>0611861230050</v>
      </c>
      <c r="B2970" t="str">
        <f>"CR2124"</f>
        <v>CR2124</v>
      </c>
      <c r="C2970" t="s">
        <v>2895</v>
      </c>
    </row>
    <row r="2971" spans="1:3" x14ac:dyDescent="0.25">
      <c r="A2971" t="str">
        <f>"0611861231050"</f>
        <v>0611861231050</v>
      </c>
      <c r="B2971" t="str">
        <f>"CR4943"</f>
        <v>CR4943</v>
      </c>
      <c r="C2971" t="s">
        <v>2896</v>
      </c>
    </row>
    <row r="2972" spans="1:3" x14ac:dyDescent="0.25">
      <c r="A2972" t="str">
        <f>"0611884106100"</f>
        <v>0611884106100</v>
      </c>
      <c r="B2972" t="str">
        <f>"LK7161"</f>
        <v>LK7161</v>
      </c>
      <c r="C2972" t="s">
        <v>2870</v>
      </c>
    </row>
    <row r="2973" spans="1:3" x14ac:dyDescent="0.25">
      <c r="A2973" t="str">
        <f>"0611833201100"</f>
        <v>0611833201100</v>
      </c>
      <c r="B2973" t="str">
        <f>"LK5455"</f>
        <v>LK5455</v>
      </c>
      <c r="C2973" t="s">
        <v>2871</v>
      </c>
    </row>
    <row r="2974" spans="1:3" x14ac:dyDescent="0.25">
      <c r="A2974" t="str">
        <f>"0611833202100"</f>
        <v>0611833202100</v>
      </c>
      <c r="B2974" t="str">
        <f>"LK5199"</f>
        <v>LK5199</v>
      </c>
      <c r="C2974" t="s">
        <v>2897</v>
      </c>
    </row>
    <row r="2975" spans="1:3" x14ac:dyDescent="0.25">
      <c r="A2975" t="str">
        <f>"0611833203100"</f>
        <v>0611833203100</v>
      </c>
      <c r="B2975" t="str">
        <f>"LQ3830"</f>
        <v>LQ3830</v>
      </c>
      <c r="C2975" t="s">
        <v>2898</v>
      </c>
    </row>
    <row r="2976" spans="1:3" x14ac:dyDescent="0.25">
      <c r="A2976" t="str">
        <f>"0611833204100"</f>
        <v>0611833204100</v>
      </c>
      <c r="B2976" t="str">
        <f>"LQ3831"</f>
        <v>LQ3831</v>
      </c>
      <c r="C2976" t="s">
        <v>2899</v>
      </c>
    </row>
    <row r="2977" spans="1:3" x14ac:dyDescent="0.25">
      <c r="A2977" t="str">
        <f>"0611833205100"</f>
        <v>0611833205100</v>
      </c>
      <c r="B2977" t="str">
        <f>"LQ3832"</f>
        <v>LQ3832</v>
      </c>
      <c r="C2977" t="s">
        <v>2900</v>
      </c>
    </row>
    <row r="2978" spans="1:3" x14ac:dyDescent="0.25">
      <c r="A2978" t="str">
        <f>"0611833206100"</f>
        <v>0611833206100</v>
      </c>
      <c r="B2978" t="str">
        <f>"LK3211"</f>
        <v>LK3211</v>
      </c>
      <c r="C2978" t="s">
        <v>2901</v>
      </c>
    </row>
    <row r="2979" spans="1:3" x14ac:dyDescent="0.25">
      <c r="A2979" t="str">
        <f>"0611861232050"</f>
        <v>0611861232050</v>
      </c>
      <c r="B2979" t="str">
        <f>"CR2120"</f>
        <v>CR2120</v>
      </c>
      <c r="C2979" t="s">
        <v>2887</v>
      </c>
    </row>
    <row r="2980" spans="1:3" x14ac:dyDescent="0.25">
      <c r="A2980" t="str">
        <f>"0611833207100"</f>
        <v>0611833207100</v>
      </c>
      <c r="B2980" t="str">
        <f>"LQ3232"</f>
        <v>LQ3232</v>
      </c>
      <c r="C2980" t="s">
        <v>2902</v>
      </c>
    </row>
    <row r="2981" spans="1:3" x14ac:dyDescent="0.25">
      <c r="A2981" t="str">
        <f>"0611833208100"</f>
        <v>0611833208100</v>
      </c>
      <c r="B2981" t="str">
        <f>"LQ3233"</f>
        <v>LQ3233</v>
      </c>
      <c r="C2981" t="s">
        <v>2903</v>
      </c>
    </row>
    <row r="2982" spans="1:3" x14ac:dyDescent="0.25">
      <c r="A2982" t="str">
        <f>"0611833209100"</f>
        <v>0611833209100</v>
      </c>
      <c r="B2982" t="str">
        <f>"LQ3586"</f>
        <v>LQ3586</v>
      </c>
      <c r="C2982" t="s">
        <v>2904</v>
      </c>
    </row>
    <row r="2983" spans="1:3" x14ac:dyDescent="0.25">
      <c r="A2983" t="str">
        <f>"0611833211100"</f>
        <v>0611833211100</v>
      </c>
      <c r="B2983" t="str">
        <f>"LQ0936"</f>
        <v>LQ0936</v>
      </c>
      <c r="C2983" t="s">
        <v>2905</v>
      </c>
    </row>
    <row r="2984" spans="1:3" x14ac:dyDescent="0.25">
      <c r="A2984" t="str">
        <f>"0611833212100"</f>
        <v>0611833212100</v>
      </c>
      <c r="B2984" t="str">
        <f>"LQ3397"</f>
        <v>LQ3397</v>
      </c>
      <c r="C2984" t="s">
        <v>2906</v>
      </c>
    </row>
    <row r="2985" spans="1:3" x14ac:dyDescent="0.25">
      <c r="A2985" t="str">
        <f>"0611833214100"</f>
        <v>0611833214100</v>
      </c>
      <c r="B2985" t="str">
        <f>"LD0031"</f>
        <v>LD0031</v>
      </c>
      <c r="C2985" t="s">
        <v>2907</v>
      </c>
    </row>
    <row r="2986" spans="1:3" x14ac:dyDescent="0.25">
      <c r="A2986" t="str">
        <f>"0611833215100"</f>
        <v>0611833215100</v>
      </c>
      <c r="B2986" t="str">
        <f>"LK2594"</f>
        <v>LK2594</v>
      </c>
      <c r="C2986" t="s">
        <v>2908</v>
      </c>
    </row>
    <row r="2987" spans="1:3" x14ac:dyDescent="0.25">
      <c r="A2987" t="str">
        <f>"0611833216100"</f>
        <v>0611833216100</v>
      </c>
      <c r="B2987" t="str">
        <f>"LK4647"</f>
        <v>LK4647</v>
      </c>
      <c r="C2987" t="s">
        <v>2909</v>
      </c>
    </row>
    <row r="2988" spans="1:3" x14ac:dyDescent="0.25">
      <c r="A2988" t="str">
        <f>"0611833217100"</f>
        <v>0611833217100</v>
      </c>
      <c r="B2988" t="str">
        <f>"LK6003"</f>
        <v>LK6003</v>
      </c>
      <c r="C2988" t="s">
        <v>2910</v>
      </c>
    </row>
    <row r="2989" spans="1:3" x14ac:dyDescent="0.25">
      <c r="A2989" t="str">
        <f>"0611833218100"</f>
        <v>0611833218100</v>
      </c>
      <c r="B2989" t="str">
        <f>"LK4799"</f>
        <v>LK4799</v>
      </c>
      <c r="C2989" t="s">
        <v>2911</v>
      </c>
    </row>
    <row r="2990" spans="1:3" x14ac:dyDescent="0.25">
      <c r="A2990" t="str">
        <f>"0611884107100"</f>
        <v>0611884107100</v>
      </c>
      <c r="B2990" t="str">
        <f>"LK7130"</f>
        <v>LK7130</v>
      </c>
      <c r="C2990" t="s">
        <v>2912</v>
      </c>
    </row>
    <row r="2991" spans="1:3" x14ac:dyDescent="0.25">
      <c r="A2991" t="str">
        <f>"0611833221100"</f>
        <v>0611833221100</v>
      </c>
      <c r="B2991" t="str">
        <f>"LK4282"</f>
        <v>LK4282</v>
      </c>
      <c r="C2991" t="s">
        <v>2913</v>
      </c>
    </row>
    <row r="2992" spans="1:3" x14ac:dyDescent="0.25">
      <c r="A2992" t="str">
        <f>"0611833222100"</f>
        <v>0611833222100</v>
      </c>
      <c r="B2992" t="str">
        <f>"LK4283"</f>
        <v>LK4283</v>
      </c>
      <c r="C2992" t="s">
        <v>2914</v>
      </c>
    </row>
    <row r="2993" spans="1:3" x14ac:dyDescent="0.25">
      <c r="A2993" t="str">
        <f>"0611856877100"</f>
        <v>0611856877100</v>
      </c>
      <c r="B2993" t="str">
        <f>"LK7048"</f>
        <v>LK7048</v>
      </c>
      <c r="C2993" t="s">
        <v>2915</v>
      </c>
    </row>
    <row r="2994" spans="1:3" x14ac:dyDescent="0.25">
      <c r="A2994" t="str">
        <f>"0611833223100"</f>
        <v>0611833223100</v>
      </c>
      <c r="B2994" t="str">
        <f>"LK4285"</f>
        <v>LK4285</v>
      </c>
      <c r="C2994" t="s">
        <v>2916</v>
      </c>
    </row>
    <row r="2995" spans="1:3" x14ac:dyDescent="0.25">
      <c r="A2995" t="str">
        <f>"0611861233050"</f>
        <v>0611861233050</v>
      </c>
      <c r="B2995" t="str">
        <f>"CR3508"</f>
        <v>CR3508</v>
      </c>
      <c r="C2995" t="s">
        <v>2917</v>
      </c>
    </row>
    <row r="2996" spans="1:3" x14ac:dyDescent="0.25">
      <c r="A2996" t="str">
        <f>"0611833224100"</f>
        <v>0611833224100</v>
      </c>
      <c r="B2996" t="str">
        <f>"LB2190"</f>
        <v>LB2190</v>
      </c>
      <c r="C2996" t="s">
        <v>2918</v>
      </c>
    </row>
    <row r="2997" spans="1:3" x14ac:dyDescent="0.25">
      <c r="A2997" t="str">
        <f>"0611833225100"</f>
        <v>0611833225100</v>
      </c>
      <c r="B2997" t="str">
        <f>"LB2192"</f>
        <v>LB2192</v>
      </c>
      <c r="C2997" t="s">
        <v>2919</v>
      </c>
    </row>
    <row r="2998" spans="1:3" x14ac:dyDescent="0.25">
      <c r="A2998" t="str">
        <f>"0611833226100"</f>
        <v>0611833226100</v>
      </c>
      <c r="B2998" t="str">
        <f>"LK0684"</f>
        <v>LK0684</v>
      </c>
      <c r="C2998" t="s">
        <v>2920</v>
      </c>
    </row>
    <row r="2999" spans="1:3" x14ac:dyDescent="0.25">
      <c r="A2999" t="str">
        <f>"0611833227100"</f>
        <v>0611833227100</v>
      </c>
      <c r="B2999" t="str">
        <f>"LK4648"</f>
        <v>LK4648</v>
      </c>
      <c r="C2999" t="s">
        <v>2921</v>
      </c>
    </row>
    <row r="3000" spans="1:3" x14ac:dyDescent="0.25">
      <c r="A3000" t="str">
        <f>"0611833228100"</f>
        <v>0611833228100</v>
      </c>
      <c r="B3000" t="str">
        <f>"LK6329"</f>
        <v>LK6329</v>
      </c>
      <c r="C3000" t="s">
        <v>2922</v>
      </c>
    </row>
    <row r="3001" spans="1:3" x14ac:dyDescent="0.25">
      <c r="A3001" t="str">
        <f>"0611861235050"</f>
        <v>0611861235050</v>
      </c>
      <c r="B3001" t="str">
        <f>"CR2122"</f>
        <v>CR2122</v>
      </c>
      <c r="C3001" t="s">
        <v>2923</v>
      </c>
    </row>
    <row r="3002" spans="1:3" x14ac:dyDescent="0.25">
      <c r="A3002" t="str">
        <f>"0611833229025"</f>
        <v>0611833229025</v>
      </c>
      <c r="B3002" t="str">
        <f>"MC2247"</f>
        <v>MC2247</v>
      </c>
      <c r="C3002" t="s">
        <v>2924</v>
      </c>
    </row>
    <row r="3003" spans="1:3" x14ac:dyDescent="0.25">
      <c r="A3003" t="str">
        <f>"0611833230100"</f>
        <v>0611833230100</v>
      </c>
      <c r="B3003" t="str">
        <f>"LK3212"</f>
        <v>LK3212</v>
      </c>
      <c r="C3003" t="s">
        <v>2942</v>
      </c>
    </row>
    <row r="3004" spans="1:3" x14ac:dyDescent="0.25">
      <c r="A3004" t="str">
        <f>"0611833231100"</f>
        <v>0611833231100</v>
      </c>
      <c r="B3004" t="str">
        <f>"LS0015"</f>
        <v>LS0015</v>
      </c>
      <c r="C3004" t="s">
        <v>2943</v>
      </c>
    </row>
    <row r="3005" spans="1:3" x14ac:dyDescent="0.25">
      <c r="A3005" t="str">
        <f>"0611833232100"</f>
        <v>0611833232100</v>
      </c>
      <c r="B3005" t="str">
        <f>"LK0685"</f>
        <v>LK0685</v>
      </c>
      <c r="C3005" t="s">
        <v>2944</v>
      </c>
    </row>
    <row r="3006" spans="1:3" x14ac:dyDescent="0.25">
      <c r="A3006" t="str">
        <f>"0611861256050"</f>
        <v>0611861256050</v>
      </c>
      <c r="B3006" t="str">
        <f>"CR5166"</f>
        <v>CR5166</v>
      </c>
      <c r="C3006" t="s">
        <v>2945</v>
      </c>
    </row>
    <row r="3007" spans="1:3" x14ac:dyDescent="0.25">
      <c r="A3007" t="str">
        <f>"0611861236050"</f>
        <v>0611861236050</v>
      </c>
      <c r="B3007" t="str">
        <f>"CR2106"</f>
        <v>CR2106</v>
      </c>
      <c r="C3007" t="s">
        <v>2925</v>
      </c>
    </row>
    <row r="3008" spans="1:3" x14ac:dyDescent="0.25">
      <c r="A3008" t="str">
        <f>"0611861237050"</f>
        <v>0611861237050</v>
      </c>
      <c r="B3008" t="str">
        <f>"CR2108"</f>
        <v>CR2108</v>
      </c>
      <c r="C3008" t="s">
        <v>2926</v>
      </c>
    </row>
    <row r="3009" spans="1:3" x14ac:dyDescent="0.25">
      <c r="A3009" t="str">
        <f>"0611861238050"</f>
        <v>0611861238050</v>
      </c>
      <c r="B3009" t="str">
        <f>"CR3510"</f>
        <v>CR3510</v>
      </c>
      <c r="C3009" t="s">
        <v>2927</v>
      </c>
    </row>
    <row r="3010" spans="1:3" x14ac:dyDescent="0.25">
      <c r="A3010" t="str">
        <f>"0611861239050"</f>
        <v>0611861239050</v>
      </c>
      <c r="B3010" t="str">
        <f>"CR2109"</f>
        <v>CR2109</v>
      </c>
      <c r="C3010" t="s">
        <v>2929</v>
      </c>
    </row>
    <row r="3011" spans="1:3" x14ac:dyDescent="0.25">
      <c r="A3011" t="str">
        <f>"0611861240050"</f>
        <v>0611861240050</v>
      </c>
      <c r="B3011" t="str">
        <f>"CR3858"</f>
        <v>CR3858</v>
      </c>
      <c r="C3011" t="s">
        <v>2928</v>
      </c>
    </row>
    <row r="3012" spans="1:3" x14ac:dyDescent="0.25">
      <c r="A3012" t="str">
        <f>"0611861241050"</f>
        <v>0611861241050</v>
      </c>
      <c r="B3012" t="str">
        <f>"CR5167"</f>
        <v>CR5167</v>
      </c>
      <c r="C3012" t="s">
        <v>2930</v>
      </c>
    </row>
    <row r="3013" spans="1:3" x14ac:dyDescent="0.25">
      <c r="A3013" t="str">
        <f>"0611861242050"</f>
        <v>0611861242050</v>
      </c>
      <c r="B3013" t="str">
        <f>"CR3511"</f>
        <v>CR3511</v>
      </c>
      <c r="C3013" t="s">
        <v>2931</v>
      </c>
    </row>
    <row r="3014" spans="1:3" x14ac:dyDescent="0.25">
      <c r="A3014" t="str">
        <f>"0611861243050"</f>
        <v>0611861243050</v>
      </c>
      <c r="B3014" t="str">
        <f>"CR2110"</f>
        <v>CR2110</v>
      </c>
      <c r="C3014" t="s">
        <v>2932</v>
      </c>
    </row>
    <row r="3015" spans="1:3" x14ac:dyDescent="0.25">
      <c r="A3015" t="str">
        <f>"0611861244050"</f>
        <v>0611861244050</v>
      </c>
      <c r="B3015" t="str">
        <f>"CR2111"</f>
        <v>CR2111</v>
      </c>
      <c r="C3015" t="s">
        <v>2933</v>
      </c>
    </row>
    <row r="3016" spans="1:3" x14ac:dyDescent="0.25">
      <c r="A3016" t="str">
        <f>"0611861247050"</f>
        <v>0611861247050</v>
      </c>
      <c r="B3016" t="str">
        <f>"CR5030"</f>
        <v>CR5030</v>
      </c>
      <c r="C3016" t="s">
        <v>13809</v>
      </c>
    </row>
    <row r="3017" spans="1:3" x14ac:dyDescent="0.25">
      <c r="A3017" t="str">
        <f>"0611861248050"</f>
        <v>0611861248050</v>
      </c>
      <c r="B3017" t="str">
        <f>"CR5068"</f>
        <v>CR5068</v>
      </c>
      <c r="C3017" t="s">
        <v>2934</v>
      </c>
    </row>
    <row r="3018" spans="1:3" x14ac:dyDescent="0.25">
      <c r="A3018" t="str">
        <f>"0611861249050"</f>
        <v>0611861249050</v>
      </c>
      <c r="B3018" t="str">
        <f>"CR3676"</f>
        <v>CR3676</v>
      </c>
      <c r="C3018" t="s">
        <v>2935</v>
      </c>
    </row>
    <row r="3019" spans="1:3" x14ac:dyDescent="0.25">
      <c r="A3019" t="str">
        <f>"0611861250050"</f>
        <v>0611861250050</v>
      </c>
      <c r="B3019" t="str">
        <f>"CR2113"</f>
        <v>CR2113</v>
      </c>
      <c r="C3019" t="s">
        <v>2936</v>
      </c>
    </row>
    <row r="3020" spans="1:3" x14ac:dyDescent="0.25">
      <c r="A3020" t="str">
        <f>"0611861251050"</f>
        <v>0611861251050</v>
      </c>
      <c r="B3020" t="str">
        <f>"CR3512"</f>
        <v>CR3512</v>
      </c>
      <c r="C3020" t="s">
        <v>2937</v>
      </c>
    </row>
    <row r="3021" spans="1:3" x14ac:dyDescent="0.25">
      <c r="A3021" t="str">
        <f>"0611861252050"</f>
        <v>0611861252050</v>
      </c>
      <c r="B3021" t="str">
        <f>"CR2114"</f>
        <v>CR2114</v>
      </c>
      <c r="C3021" t="s">
        <v>2938</v>
      </c>
    </row>
    <row r="3022" spans="1:3" x14ac:dyDescent="0.25">
      <c r="A3022" t="str">
        <f>"0611861253050"</f>
        <v>0611861253050</v>
      </c>
      <c r="B3022" t="str">
        <f>"CR2809"</f>
        <v>CR2809</v>
      </c>
      <c r="C3022" t="s">
        <v>2939</v>
      </c>
    </row>
    <row r="3023" spans="1:3" x14ac:dyDescent="0.25">
      <c r="A3023" t="str">
        <f>"0611861254050"</f>
        <v>0611861254050</v>
      </c>
      <c r="B3023" t="str">
        <f>"CR2115"</f>
        <v>CR2115</v>
      </c>
      <c r="C3023" t="s">
        <v>2940</v>
      </c>
    </row>
    <row r="3024" spans="1:3" x14ac:dyDescent="0.25">
      <c r="A3024" t="str">
        <f>"0611861255050"</f>
        <v>0611861255050</v>
      </c>
      <c r="B3024" t="str">
        <f>"CR4104"</f>
        <v>CR4104</v>
      </c>
      <c r="C3024" t="s">
        <v>2941</v>
      </c>
    </row>
    <row r="3025" spans="1:3" x14ac:dyDescent="0.25">
      <c r="A3025" t="str">
        <f>"0611833233100"</f>
        <v>0611833233100</v>
      </c>
      <c r="B3025" t="str">
        <f>"LB2194"</f>
        <v>LB2194</v>
      </c>
      <c r="C3025" t="s">
        <v>2946</v>
      </c>
    </row>
    <row r="3026" spans="1:3" x14ac:dyDescent="0.25">
      <c r="A3026" t="str">
        <f>"0611833234100"</f>
        <v>0611833234100</v>
      </c>
      <c r="B3026" t="str">
        <f>"LK2595"</f>
        <v>LK2595</v>
      </c>
      <c r="C3026" t="s">
        <v>2947</v>
      </c>
    </row>
    <row r="3027" spans="1:3" x14ac:dyDescent="0.25">
      <c r="A3027" t="str">
        <f>"0611833235100"</f>
        <v>0611833235100</v>
      </c>
      <c r="B3027" t="str">
        <f>"LK5740"</f>
        <v>LK5740</v>
      </c>
      <c r="C3027" t="s">
        <v>2948</v>
      </c>
    </row>
    <row r="3028" spans="1:3" x14ac:dyDescent="0.25">
      <c r="A3028" t="str">
        <f>"0611884108050"</f>
        <v>0611884108050</v>
      </c>
      <c r="B3028" t="str">
        <f>"CE1738"</f>
        <v>CE1738</v>
      </c>
      <c r="C3028" t="s">
        <v>2949</v>
      </c>
    </row>
    <row r="3029" spans="1:3" x14ac:dyDescent="0.25">
      <c r="A3029" t="str">
        <f>"0611884109050"</f>
        <v>0611884109050</v>
      </c>
      <c r="B3029" t="str">
        <f>"CE1731"</f>
        <v>CE1731</v>
      </c>
      <c r="C3029" t="s">
        <v>2950</v>
      </c>
    </row>
    <row r="3030" spans="1:3" x14ac:dyDescent="0.25">
      <c r="A3030" t="str">
        <f>"0611884110050"</f>
        <v>0611884110050</v>
      </c>
      <c r="B3030" t="str">
        <f>"CE1730"</f>
        <v>CE1730</v>
      </c>
      <c r="C3030" t="s">
        <v>2951</v>
      </c>
    </row>
    <row r="3031" spans="1:3" x14ac:dyDescent="0.25">
      <c r="A3031" t="str">
        <f>"0611884111050"</f>
        <v>0611884111050</v>
      </c>
      <c r="B3031" t="str">
        <f>"CE1732"</f>
        <v>CE1732</v>
      </c>
      <c r="C3031" t="s">
        <v>2952</v>
      </c>
    </row>
    <row r="3032" spans="1:3" x14ac:dyDescent="0.25">
      <c r="A3032" t="str">
        <f>"0611884112050"</f>
        <v>0611884112050</v>
      </c>
      <c r="B3032" t="str">
        <f>"CE1736"</f>
        <v>CE1736</v>
      </c>
      <c r="C3032" t="s">
        <v>2953</v>
      </c>
    </row>
    <row r="3033" spans="1:3" x14ac:dyDescent="0.25">
      <c r="A3033" t="str">
        <f>"0611884113050"</f>
        <v>0611884113050</v>
      </c>
      <c r="B3033" t="str">
        <f>"CE1737"</f>
        <v>CE1737</v>
      </c>
      <c r="C3033" t="s">
        <v>2954</v>
      </c>
    </row>
    <row r="3034" spans="1:3" x14ac:dyDescent="0.25">
      <c r="A3034" t="str">
        <f>"0611833237100"</f>
        <v>0611833237100</v>
      </c>
      <c r="B3034" t="str">
        <f>"LQ3706"</f>
        <v>LQ3706</v>
      </c>
      <c r="C3034" t="s">
        <v>2955</v>
      </c>
    </row>
    <row r="3035" spans="1:3" x14ac:dyDescent="0.25">
      <c r="A3035" t="str">
        <f>"0611833238100"</f>
        <v>0611833238100</v>
      </c>
      <c r="B3035" t="str">
        <f>"LQ3367"</f>
        <v>LQ3367</v>
      </c>
      <c r="C3035" t="s">
        <v>2956</v>
      </c>
    </row>
    <row r="3036" spans="1:3" x14ac:dyDescent="0.25">
      <c r="A3036" t="str">
        <f>"0611861258050"</f>
        <v>0611861258050</v>
      </c>
      <c r="B3036" t="str">
        <f>"CR3441"</f>
        <v>CR3441</v>
      </c>
      <c r="C3036" t="s">
        <v>2957</v>
      </c>
    </row>
    <row r="3037" spans="1:3" x14ac:dyDescent="0.25">
      <c r="A3037" t="str">
        <f>"0611833240100"</f>
        <v>0611833240100</v>
      </c>
      <c r="B3037" t="str">
        <f>"LQ3707"</f>
        <v>LQ3707</v>
      </c>
      <c r="C3037" t="s">
        <v>2958</v>
      </c>
    </row>
    <row r="3038" spans="1:3" x14ac:dyDescent="0.25">
      <c r="A3038" t="str">
        <f>"0611833241100"</f>
        <v>0611833241100</v>
      </c>
      <c r="B3038" t="str">
        <f>"LQ3708"</f>
        <v>LQ3708</v>
      </c>
      <c r="C3038" t="s">
        <v>13810</v>
      </c>
    </row>
    <row r="3039" spans="1:3" x14ac:dyDescent="0.25">
      <c r="A3039" t="str">
        <f>"0611833244100"</f>
        <v>0611833244100</v>
      </c>
      <c r="B3039" t="str">
        <f>"LQ0939"</f>
        <v>LQ0939</v>
      </c>
      <c r="C3039" t="s">
        <v>2959</v>
      </c>
    </row>
    <row r="3040" spans="1:3" x14ac:dyDescent="0.25">
      <c r="A3040" t="str">
        <f>"0611833245100"</f>
        <v>0611833245100</v>
      </c>
      <c r="B3040" t="str">
        <f>"LQ3709"</f>
        <v>LQ3709</v>
      </c>
      <c r="C3040" t="s">
        <v>2960</v>
      </c>
    </row>
    <row r="3041" spans="1:3" x14ac:dyDescent="0.25">
      <c r="A3041" t="str">
        <f>"0611833247100"</f>
        <v>0611833247100</v>
      </c>
      <c r="B3041" t="str">
        <f>"LQ3710"</f>
        <v>LQ3710</v>
      </c>
      <c r="C3041" t="s">
        <v>2961</v>
      </c>
    </row>
    <row r="3042" spans="1:3" x14ac:dyDescent="0.25">
      <c r="A3042" t="str">
        <f>"0611833249100"</f>
        <v>0611833249100</v>
      </c>
      <c r="B3042" t="str">
        <f>"LQ3345"</f>
        <v>LQ3345</v>
      </c>
      <c r="C3042" t="s">
        <v>2962</v>
      </c>
    </row>
    <row r="3043" spans="1:3" x14ac:dyDescent="0.25">
      <c r="A3043" t="str">
        <f>"0611833250100"</f>
        <v>0611833250100</v>
      </c>
      <c r="B3043" t="str">
        <f>"LQ3833"</f>
        <v>LQ3833</v>
      </c>
      <c r="C3043" t="s">
        <v>2963</v>
      </c>
    </row>
    <row r="3044" spans="1:3" x14ac:dyDescent="0.25">
      <c r="A3044" t="str">
        <f>"0611833252100"</f>
        <v>0611833252100</v>
      </c>
      <c r="B3044" t="str">
        <f>"LQ3713"</f>
        <v>LQ3713</v>
      </c>
      <c r="C3044" t="s">
        <v>2964</v>
      </c>
    </row>
    <row r="3045" spans="1:3" x14ac:dyDescent="0.25">
      <c r="A3045" t="str">
        <f>"0611833254100"</f>
        <v>0611833254100</v>
      </c>
      <c r="B3045" t="str">
        <f>"LQ3834"</f>
        <v>LQ3834</v>
      </c>
      <c r="C3045" t="s">
        <v>2965</v>
      </c>
    </row>
    <row r="3046" spans="1:3" x14ac:dyDescent="0.25">
      <c r="A3046" t="str">
        <f>"0611833255100"</f>
        <v>0611833255100</v>
      </c>
      <c r="B3046" t="str">
        <f>"LQ3715"</f>
        <v>LQ3715</v>
      </c>
      <c r="C3046" t="s">
        <v>2966</v>
      </c>
    </row>
    <row r="3047" spans="1:3" x14ac:dyDescent="0.25">
      <c r="A3047" t="str">
        <f>"0611833256100"</f>
        <v>0611833256100</v>
      </c>
      <c r="B3047" t="str">
        <f>"LQ3368"</f>
        <v>LQ3368</v>
      </c>
      <c r="C3047" t="s">
        <v>2967</v>
      </c>
    </row>
    <row r="3048" spans="1:3" x14ac:dyDescent="0.25">
      <c r="A3048" t="str">
        <f>"0611833258100"</f>
        <v>0611833258100</v>
      </c>
      <c r="B3048" t="str">
        <f>"LQ3716"</f>
        <v>LQ3716</v>
      </c>
      <c r="C3048" t="s">
        <v>2968</v>
      </c>
    </row>
    <row r="3049" spans="1:3" x14ac:dyDescent="0.25">
      <c r="A3049" t="str">
        <f>"0611833260100"</f>
        <v>0611833260100</v>
      </c>
      <c r="B3049" t="str">
        <f>"LQ3718"</f>
        <v>LQ3718</v>
      </c>
      <c r="C3049" t="s">
        <v>2969</v>
      </c>
    </row>
    <row r="3050" spans="1:3" x14ac:dyDescent="0.25">
      <c r="A3050" t="str">
        <f>"0611833261100"</f>
        <v>0611833261100</v>
      </c>
      <c r="B3050" t="str">
        <f>"LQ0941"</f>
        <v>LQ0941</v>
      </c>
      <c r="C3050" t="s">
        <v>2970</v>
      </c>
    </row>
    <row r="3051" spans="1:3" x14ac:dyDescent="0.25">
      <c r="A3051" t="str">
        <f>"0611906708100"</f>
        <v>0611906708100</v>
      </c>
      <c r="B3051" t="str">
        <f>"LQ3953"</f>
        <v>LQ3953</v>
      </c>
      <c r="C3051" t="s">
        <v>2971</v>
      </c>
    </row>
    <row r="3052" spans="1:3" x14ac:dyDescent="0.25">
      <c r="A3052" t="str">
        <f>"0611833264100"</f>
        <v>0611833264100</v>
      </c>
      <c r="B3052" t="str">
        <f>"LQ3720"</f>
        <v>LQ3720</v>
      </c>
      <c r="C3052" t="s">
        <v>2972</v>
      </c>
    </row>
    <row r="3053" spans="1:3" x14ac:dyDescent="0.25">
      <c r="A3053" t="str">
        <f>"0611833265100"</f>
        <v>0611833265100</v>
      </c>
      <c r="B3053" t="str">
        <f>"LQ3721"</f>
        <v>LQ3721</v>
      </c>
      <c r="C3053" t="s">
        <v>2973</v>
      </c>
    </row>
    <row r="3054" spans="1:3" x14ac:dyDescent="0.25">
      <c r="A3054" t="str">
        <f>"0611833267100"</f>
        <v>0611833267100</v>
      </c>
      <c r="B3054" t="str">
        <f>"LK5742"</f>
        <v>LK5742</v>
      </c>
      <c r="C3054" t="s">
        <v>2974</v>
      </c>
    </row>
    <row r="3055" spans="1:3" x14ac:dyDescent="0.25">
      <c r="A3055" t="str">
        <f>"0611833268025"</f>
        <v>0611833268025</v>
      </c>
      <c r="B3055" t="str">
        <f>"MC1424"</f>
        <v>MC1424</v>
      </c>
      <c r="C3055" t="s">
        <v>2975</v>
      </c>
    </row>
    <row r="3056" spans="1:3" x14ac:dyDescent="0.25">
      <c r="A3056" t="str">
        <f>"0611833269100"</f>
        <v>0611833269100</v>
      </c>
      <c r="B3056" t="str">
        <f>"LK4284"</f>
        <v>LK4284</v>
      </c>
      <c r="C3056" t="s">
        <v>2976</v>
      </c>
    </row>
    <row r="3057" spans="1:3" x14ac:dyDescent="0.25">
      <c r="A3057" t="str">
        <f>"0611833272100"</f>
        <v>0611833272100</v>
      </c>
      <c r="B3057" t="str">
        <f>"LK3125"</f>
        <v>LK3125</v>
      </c>
      <c r="C3057" t="s">
        <v>2977</v>
      </c>
    </row>
    <row r="3058" spans="1:3" x14ac:dyDescent="0.25">
      <c r="A3058" t="str">
        <f>"0611833273100"</f>
        <v>0611833273100</v>
      </c>
      <c r="B3058" t="str">
        <f>"LK5743"</f>
        <v>LK5743</v>
      </c>
      <c r="C3058" t="s">
        <v>2978</v>
      </c>
    </row>
    <row r="3059" spans="1:3" x14ac:dyDescent="0.25">
      <c r="A3059" t="str">
        <f>"0611833274100"</f>
        <v>0611833274100</v>
      </c>
      <c r="B3059" t="str">
        <f>"LQ3722"</f>
        <v>LQ3722</v>
      </c>
      <c r="C3059" t="s">
        <v>2980</v>
      </c>
    </row>
    <row r="3060" spans="1:3" x14ac:dyDescent="0.25">
      <c r="A3060" t="str">
        <f>"0611861259050"</f>
        <v>0611861259050</v>
      </c>
      <c r="B3060" t="str">
        <f>"CR3513"</f>
        <v>CR3513</v>
      </c>
      <c r="C3060" t="s">
        <v>2981</v>
      </c>
    </row>
    <row r="3061" spans="1:3" x14ac:dyDescent="0.25">
      <c r="A3061" t="str">
        <f>"0611833276100"</f>
        <v>0611833276100</v>
      </c>
      <c r="B3061" t="str">
        <f>"LQ3724"</f>
        <v>LQ3724</v>
      </c>
      <c r="C3061" t="s">
        <v>2982</v>
      </c>
    </row>
    <row r="3062" spans="1:3" x14ac:dyDescent="0.25">
      <c r="A3062" t="str">
        <f>"0611861260050"</f>
        <v>0611861260050</v>
      </c>
      <c r="B3062" t="str">
        <f>"CR3514"</f>
        <v>CR3514</v>
      </c>
      <c r="C3062" t="s">
        <v>2983</v>
      </c>
    </row>
    <row r="3063" spans="1:3" x14ac:dyDescent="0.25">
      <c r="A3063" t="str">
        <f>"0611833278100"</f>
        <v>0611833278100</v>
      </c>
      <c r="B3063" t="str">
        <f>"LQ3725"</f>
        <v>LQ3725</v>
      </c>
      <c r="C3063" t="s">
        <v>2984</v>
      </c>
    </row>
    <row r="3064" spans="1:3" x14ac:dyDescent="0.25">
      <c r="A3064" t="str">
        <f>"0611861261050"</f>
        <v>0611861261050</v>
      </c>
      <c r="B3064" t="str">
        <f>"CR3445"</f>
        <v>CR3445</v>
      </c>
      <c r="C3064" t="s">
        <v>2985</v>
      </c>
    </row>
    <row r="3065" spans="1:3" x14ac:dyDescent="0.25">
      <c r="A3065" t="str">
        <f>"0611833279100"</f>
        <v>0611833279100</v>
      </c>
      <c r="B3065" t="str">
        <f>"LK0693"</f>
        <v>LK0693</v>
      </c>
      <c r="C3065" t="s">
        <v>2979</v>
      </c>
    </row>
    <row r="3066" spans="1:3" x14ac:dyDescent="0.25">
      <c r="A3066" t="str">
        <f>"0611833280100"</f>
        <v>0611833280100</v>
      </c>
      <c r="B3066" t="str">
        <f>"LK2782"</f>
        <v>LK2782</v>
      </c>
      <c r="C3066" t="s">
        <v>2986</v>
      </c>
    </row>
    <row r="3067" spans="1:3" x14ac:dyDescent="0.25">
      <c r="A3067" t="str">
        <f>"0611833281100"</f>
        <v>0611833281100</v>
      </c>
      <c r="B3067" t="str">
        <f>"LB2308"</f>
        <v>LB2308</v>
      </c>
      <c r="C3067" t="s">
        <v>2987</v>
      </c>
    </row>
    <row r="3068" spans="1:3" x14ac:dyDescent="0.25">
      <c r="A3068" t="str">
        <f>"0611833282100"</f>
        <v>0611833282100</v>
      </c>
      <c r="B3068" t="str">
        <f>"LB2310"</f>
        <v>LB2310</v>
      </c>
      <c r="C3068" t="s">
        <v>2988</v>
      </c>
    </row>
    <row r="3069" spans="1:3" x14ac:dyDescent="0.25">
      <c r="A3069" t="str">
        <f>"0611833283100"</f>
        <v>0611833283100</v>
      </c>
      <c r="B3069" t="str">
        <f>"LK1947"</f>
        <v>LK1947</v>
      </c>
      <c r="C3069" t="s">
        <v>2989</v>
      </c>
    </row>
    <row r="3070" spans="1:3" x14ac:dyDescent="0.25">
      <c r="A3070" t="str">
        <f>"0611833284100"</f>
        <v>0611833284100</v>
      </c>
      <c r="B3070" t="str">
        <f>"LB2311"</f>
        <v>LB2311</v>
      </c>
      <c r="C3070" t="s">
        <v>2990</v>
      </c>
    </row>
    <row r="3071" spans="1:3" x14ac:dyDescent="0.25">
      <c r="A3071" t="str">
        <f>"0611833285100"</f>
        <v>0611833285100</v>
      </c>
      <c r="B3071" t="str">
        <f>"LB2312"</f>
        <v>LB2312</v>
      </c>
      <c r="C3071" t="s">
        <v>2991</v>
      </c>
    </row>
    <row r="3072" spans="1:3" x14ac:dyDescent="0.25">
      <c r="A3072" t="str">
        <f>"0611833286100"</f>
        <v>0611833286100</v>
      </c>
      <c r="B3072" t="str">
        <f>"LB2313"</f>
        <v>LB2313</v>
      </c>
      <c r="C3072" t="s">
        <v>2992</v>
      </c>
    </row>
    <row r="3073" spans="1:3" x14ac:dyDescent="0.25">
      <c r="A3073" t="str">
        <f>"0611833287100"</f>
        <v>0611833287100</v>
      </c>
      <c r="B3073" t="str">
        <f>"LB2314"</f>
        <v>LB2314</v>
      </c>
      <c r="C3073" t="s">
        <v>2993</v>
      </c>
    </row>
    <row r="3074" spans="1:3" x14ac:dyDescent="0.25">
      <c r="A3074" t="str">
        <f>"0611833288100"</f>
        <v>0611833288100</v>
      </c>
      <c r="B3074" t="str">
        <f>"LB2316"</f>
        <v>LB2316</v>
      </c>
      <c r="C3074" t="s">
        <v>2994</v>
      </c>
    </row>
    <row r="3075" spans="1:3" x14ac:dyDescent="0.25">
      <c r="A3075" t="str">
        <f>"0611833289100"</f>
        <v>0611833289100</v>
      </c>
      <c r="B3075" t="str">
        <f>"LB2305"</f>
        <v>LB2305</v>
      </c>
      <c r="C3075" t="s">
        <v>2995</v>
      </c>
    </row>
    <row r="3076" spans="1:3" x14ac:dyDescent="0.25">
      <c r="A3076" t="str">
        <f>"0611833290100"</f>
        <v>0611833290100</v>
      </c>
      <c r="B3076" t="str">
        <f>"LB2318"</f>
        <v>LB2318</v>
      </c>
      <c r="C3076" t="s">
        <v>2996</v>
      </c>
    </row>
    <row r="3077" spans="1:3" x14ac:dyDescent="0.25">
      <c r="A3077" t="str">
        <f>"0611833291100"</f>
        <v>0611833291100</v>
      </c>
      <c r="B3077" t="str">
        <f>"LB2320"</f>
        <v>LB2320</v>
      </c>
      <c r="C3077" t="s">
        <v>2997</v>
      </c>
    </row>
    <row r="3078" spans="1:3" x14ac:dyDescent="0.25">
      <c r="A3078" t="str">
        <f>"0611833292100"</f>
        <v>0611833292100</v>
      </c>
      <c r="B3078" t="str">
        <f>"LK5209"</f>
        <v>LK5209</v>
      </c>
      <c r="C3078" t="s">
        <v>2998</v>
      </c>
    </row>
    <row r="3079" spans="1:3" x14ac:dyDescent="0.25">
      <c r="A3079" t="str">
        <f>"0611831836100"</f>
        <v>0611831836100</v>
      </c>
      <c r="B3079" t="str">
        <f>"LL1360"</f>
        <v>LL1360</v>
      </c>
      <c r="C3079" t="s">
        <v>3000</v>
      </c>
    </row>
    <row r="3080" spans="1:3" x14ac:dyDescent="0.25">
      <c r="A3080" t="str">
        <f>"0611831870100"</f>
        <v>0611831870100</v>
      </c>
      <c r="B3080" t="str">
        <f>"LL1362"</f>
        <v>LL1362</v>
      </c>
      <c r="C3080" t="s">
        <v>3001</v>
      </c>
    </row>
    <row r="3081" spans="1:3" x14ac:dyDescent="0.25">
      <c r="A3081" t="str">
        <f>"0611831911100"</f>
        <v>0611831911100</v>
      </c>
      <c r="B3081" t="str">
        <f>"LL1361"</f>
        <v>LL1361</v>
      </c>
      <c r="C3081" t="s">
        <v>3002</v>
      </c>
    </row>
    <row r="3082" spans="1:3" x14ac:dyDescent="0.25">
      <c r="A3082" t="str">
        <f>"0611831975100"</f>
        <v>0611831975100</v>
      </c>
      <c r="B3082" t="str">
        <f>"LL8124"</f>
        <v>LL8124</v>
      </c>
      <c r="C3082" t="s">
        <v>3003</v>
      </c>
    </row>
    <row r="3083" spans="1:3" x14ac:dyDescent="0.25">
      <c r="A3083" t="str">
        <f>"0611831978100"</f>
        <v>0611831978100</v>
      </c>
      <c r="B3083" t="str">
        <f>"LL1363"</f>
        <v>LL1363</v>
      </c>
      <c r="C3083" t="s">
        <v>3004</v>
      </c>
    </row>
    <row r="3084" spans="1:3" x14ac:dyDescent="0.25">
      <c r="A3084" t="str">
        <f>"0611831980100"</f>
        <v>0611831980100</v>
      </c>
      <c r="B3084" t="str">
        <f>"LL1375"</f>
        <v>LL1375</v>
      </c>
      <c r="C3084" t="s">
        <v>2999</v>
      </c>
    </row>
    <row r="3085" spans="1:3" x14ac:dyDescent="0.25">
      <c r="A3085" t="str">
        <f>"0611884114025"</f>
        <v>0611884114025</v>
      </c>
      <c r="B3085" t="str">
        <f>"MC4514"</f>
        <v>MC4514</v>
      </c>
      <c r="C3085" t="s">
        <v>3005</v>
      </c>
    </row>
    <row r="3086" spans="1:3" x14ac:dyDescent="0.25">
      <c r="A3086" t="str">
        <f>"0611833293025"</f>
        <v>0611833293025</v>
      </c>
      <c r="B3086" t="str">
        <f>"MC1682"</f>
        <v>MC1682</v>
      </c>
      <c r="C3086" t="s">
        <v>3006</v>
      </c>
    </row>
    <row r="3087" spans="1:3" x14ac:dyDescent="0.25">
      <c r="A3087" t="str">
        <f>"0611833294100"</f>
        <v>0611833294100</v>
      </c>
      <c r="B3087" t="str">
        <f>"LF1430"</f>
        <v>LF1430</v>
      </c>
      <c r="C3087" t="s">
        <v>3007</v>
      </c>
    </row>
    <row r="3088" spans="1:3" x14ac:dyDescent="0.25">
      <c r="A3088" t="str">
        <f>"0611884115025"</f>
        <v>0611884115025</v>
      </c>
      <c r="B3088" t="str">
        <f>"MC4515"</f>
        <v>MC4515</v>
      </c>
      <c r="C3088" t="s">
        <v>3008</v>
      </c>
    </row>
    <row r="3089" spans="1:3" x14ac:dyDescent="0.25">
      <c r="A3089" t="str">
        <f>"0611860397050"</f>
        <v>0611860397050</v>
      </c>
      <c r="B3089" t="str">
        <f>"CR4297"</f>
        <v>CR4297</v>
      </c>
      <c r="C3089" t="s">
        <v>3009</v>
      </c>
    </row>
    <row r="3090" spans="1:3" x14ac:dyDescent="0.25">
      <c r="A3090" t="str">
        <f>"0611860454050"</f>
        <v>0611860454050</v>
      </c>
      <c r="B3090" t="str">
        <f>"CR4291"</f>
        <v>CR4291</v>
      </c>
      <c r="C3090" t="s">
        <v>3010</v>
      </c>
    </row>
    <row r="3091" spans="1:3" x14ac:dyDescent="0.25">
      <c r="A3091" t="str">
        <f>"0611862076050"</f>
        <v>0611862076050</v>
      </c>
      <c r="B3091" t="str">
        <f>"CR3887"</f>
        <v>CR3887</v>
      </c>
      <c r="C3091" t="s">
        <v>3011</v>
      </c>
    </row>
    <row r="3092" spans="1:3" x14ac:dyDescent="0.25">
      <c r="A3092" t="str">
        <f>"0611862077050"</f>
        <v>0611862077050</v>
      </c>
      <c r="B3092" t="str">
        <f>"CR4299"</f>
        <v>CR4299</v>
      </c>
      <c r="C3092" t="s">
        <v>3012</v>
      </c>
    </row>
    <row r="3093" spans="1:3" x14ac:dyDescent="0.25">
      <c r="A3093" t="str">
        <f>"0611862078050"</f>
        <v>0611862078050</v>
      </c>
      <c r="B3093" t="str">
        <f>"CR4292"</f>
        <v>CR4292</v>
      </c>
      <c r="C3093" t="s">
        <v>3013</v>
      </c>
    </row>
    <row r="3094" spans="1:3" x14ac:dyDescent="0.25">
      <c r="A3094" t="str">
        <f>"0611862079050"</f>
        <v>0611862079050</v>
      </c>
      <c r="B3094" t="str">
        <f>"CR4300"</f>
        <v>CR4300</v>
      </c>
      <c r="C3094" t="s">
        <v>3014</v>
      </c>
    </row>
    <row r="3095" spans="1:3" x14ac:dyDescent="0.25">
      <c r="A3095" t="str">
        <f>"0611862080050"</f>
        <v>0611862080050</v>
      </c>
      <c r="B3095" t="str">
        <f>"CR3988"</f>
        <v>CR3988</v>
      </c>
      <c r="C3095" t="s">
        <v>3015</v>
      </c>
    </row>
    <row r="3096" spans="1:3" x14ac:dyDescent="0.25">
      <c r="A3096" t="str">
        <f>"0611861264050"</f>
        <v>0611861264050</v>
      </c>
      <c r="B3096" t="str">
        <f>"CR4298"</f>
        <v>CR4298</v>
      </c>
      <c r="C3096" t="s">
        <v>3016</v>
      </c>
    </row>
    <row r="3097" spans="1:3" x14ac:dyDescent="0.25">
      <c r="A3097" t="str">
        <f>"0611862081050"</f>
        <v>0611862081050</v>
      </c>
      <c r="B3097" t="str">
        <f>"CR4301"</f>
        <v>CR4301</v>
      </c>
      <c r="C3097" t="s">
        <v>3017</v>
      </c>
    </row>
    <row r="3098" spans="1:3" x14ac:dyDescent="0.25">
      <c r="A3098" t="str">
        <f>"0611862082050"</f>
        <v>0611862082050</v>
      </c>
      <c r="B3098" t="str">
        <f>"CR4293"</f>
        <v>CR4293</v>
      </c>
      <c r="C3098" t="s">
        <v>3018</v>
      </c>
    </row>
    <row r="3099" spans="1:3" x14ac:dyDescent="0.25">
      <c r="A3099" t="str">
        <f>"0611861453050"</f>
        <v>0611861453050</v>
      </c>
      <c r="B3099" t="str">
        <f>"CR4302"</f>
        <v>CR4302</v>
      </c>
      <c r="C3099" t="s">
        <v>3019</v>
      </c>
    </row>
    <row r="3100" spans="1:3" x14ac:dyDescent="0.25">
      <c r="A3100" t="str">
        <f>"0611862083050"</f>
        <v>0611862083050</v>
      </c>
      <c r="B3100" t="str">
        <f>"CR4303"</f>
        <v>CR4303</v>
      </c>
      <c r="C3100" t="s">
        <v>3020</v>
      </c>
    </row>
    <row r="3101" spans="1:3" x14ac:dyDescent="0.25">
      <c r="A3101" t="str">
        <f>"0611862084050"</f>
        <v>0611862084050</v>
      </c>
      <c r="B3101" t="str">
        <f>"CR4294"</f>
        <v>CR4294</v>
      </c>
      <c r="C3101" t="s">
        <v>3021</v>
      </c>
    </row>
    <row r="3102" spans="1:3" x14ac:dyDescent="0.25">
      <c r="A3102" t="str">
        <f>"0611862085050"</f>
        <v>0611862085050</v>
      </c>
      <c r="B3102" t="str">
        <f>"CR4295"</f>
        <v>CR4295</v>
      </c>
      <c r="C3102" t="s">
        <v>3022</v>
      </c>
    </row>
    <row r="3103" spans="1:3" x14ac:dyDescent="0.25">
      <c r="A3103" t="str">
        <f>"0611862086050"</f>
        <v>0611862086050</v>
      </c>
      <c r="B3103" t="str">
        <f>"CR4304"</f>
        <v>CR4304</v>
      </c>
      <c r="C3103" t="s">
        <v>3023</v>
      </c>
    </row>
    <row r="3104" spans="1:3" x14ac:dyDescent="0.25">
      <c r="A3104" t="str">
        <f>"0611862087050"</f>
        <v>0611862087050</v>
      </c>
      <c r="B3104" t="str">
        <f>"CR3888"</f>
        <v>CR3888</v>
      </c>
      <c r="C3104" t="s">
        <v>3024</v>
      </c>
    </row>
    <row r="3105" spans="1:3" x14ac:dyDescent="0.25">
      <c r="A3105" t="str">
        <f>"0611862088050"</f>
        <v>0611862088050</v>
      </c>
      <c r="B3105" t="str">
        <f>"CR4305"</f>
        <v>CR4305</v>
      </c>
      <c r="C3105" t="s">
        <v>3025</v>
      </c>
    </row>
    <row r="3106" spans="1:3" x14ac:dyDescent="0.25">
      <c r="A3106" t="str">
        <f>"0611862089050"</f>
        <v>0611862089050</v>
      </c>
      <c r="B3106" t="str">
        <f>"CR4296"</f>
        <v>CR4296</v>
      </c>
      <c r="C3106" t="s">
        <v>3026</v>
      </c>
    </row>
    <row r="3107" spans="1:3" x14ac:dyDescent="0.25">
      <c r="A3107" t="str">
        <f>"0611862090050"</f>
        <v>0611862090050</v>
      </c>
      <c r="B3107" t="str">
        <f>"CR3885"</f>
        <v>CR3885</v>
      </c>
      <c r="C3107" t="s">
        <v>3027</v>
      </c>
    </row>
    <row r="3108" spans="1:3" x14ac:dyDescent="0.25">
      <c r="A3108" t="str">
        <f>"0611862091050"</f>
        <v>0611862091050</v>
      </c>
      <c r="B3108" t="str">
        <f>"CR4306"</f>
        <v>CR4306</v>
      </c>
      <c r="C3108" t="s">
        <v>3028</v>
      </c>
    </row>
    <row r="3109" spans="1:3" x14ac:dyDescent="0.25">
      <c r="A3109" t="str">
        <f>"0611884121050"</f>
        <v>0611884121050</v>
      </c>
      <c r="B3109" t="str">
        <f>"CR5393"</f>
        <v>CR5393</v>
      </c>
      <c r="C3109" t="s">
        <v>3029</v>
      </c>
    </row>
    <row r="3110" spans="1:3" x14ac:dyDescent="0.25">
      <c r="A3110" t="str">
        <f>"0611861262050"</f>
        <v>0611861262050</v>
      </c>
      <c r="B3110" t="str">
        <f>"CR3986"</f>
        <v>CR3986</v>
      </c>
      <c r="C3110" t="s">
        <v>3030</v>
      </c>
    </row>
    <row r="3111" spans="1:3" x14ac:dyDescent="0.25">
      <c r="A3111" t="str">
        <f>"0611861263050"</f>
        <v>0611861263050</v>
      </c>
      <c r="B3111" t="str">
        <f>"CR4089"</f>
        <v>CR4089</v>
      </c>
      <c r="C3111" t="s">
        <v>3031</v>
      </c>
    </row>
    <row r="3112" spans="1:3" x14ac:dyDescent="0.25">
      <c r="A3112" t="str">
        <f>"0611906543050"</f>
        <v>0611906543050</v>
      </c>
      <c r="B3112" t="str">
        <f>"CR5471"</f>
        <v>CR5471</v>
      </c>
      <c r="C3112" t="s">
        <v>3039</v>
      </c>
    </row>
    <row r="3113" spans="1:3" x14ac:dyDescent="0.25">
      <c r="A3113" t="str">
        <f>"0611906544050"</f>
        <v>0611906544050</v>
      </c>
      <c r="B3113" t="str">
        <f>"CR5473"</f>
        <v>CR5473</v>
      </c>
      <c r="C3113" t="s">
        <v>3045</v>
      </c>
    </row>
    <row r="3114" spans="1:3" x14ac:dyDescent="0.25">
      <c r="A3114" t="str">
        <f>"0611906545050"</f>
        <v>0611906545050</v>
      </c>
      <c r="B3114" t="str">
        <f>"CR5474"</f>
        <v>CR5474</v>
      </c>
      <c r="C3114" t="s">
        <v>3049</v>
      </c>
    </row>
    <row r="3115" spans="1:3" x14ac:dyDescent="0.25">
      <c r="A3115" t="str">
        <f>"0611906546050"</f>
        <v>0611906546050</v>
      </c>
      <c r="B3115" t="str">
        <f>"CR5483"</f>
        <v>CR5483</v>
      </c>
      <c r="C3115" t="s">
        <v>3072</v>
      </c>
    </row>
    <row r="3116" spans="1:3" x14ac:dyDescent="0.25">
      <c r="A3116" t="str">
        <f>"0611884078050"</f>
        <v>0611884078050</v>
      </c>
      <c r="B3116" t="str">
        <f>"CR5268"</f>
        <v>CR5268</v>
      </c>
      <c r="C3116" t="s">
        <v>3056</v>
      </c>
    </row>
    <row r="3117" spans="1:3" x14ac:dyDescent="0.25">
      <c r="A3117" t="str">
        <f>"0611906547050"</f>
        <v>0611906547050</v>
      </c>
      <c r="B3117" t="str">
        <f>"CR5465"</f>
        <v>CR5465</v>
      </c>
      <c r="C3117" t="s">
        <v>3105</v>
      </c>
    </row>
    <row r="3118" spans="1:3" x14ac:dyDescent="0.25">
      <c r="A3118" t="str">
        <f>"0611906548050"</f>
        <v>0611906548050</v>
      </c>
      <c r="B3118" t="str">
        <f>"CR5478"</f>
        <v>CR5478</v>
      </c>
      <c r="C3118" t="s">
        <v>3106</v>
      </c>
    </row>
    <row r="3119" spans="1:3" x14ac:dyDescent="0.25">
      <c r="A3119" t="str">
        <f>"0611861291050"</f>
        <v>0611861291050</v>
      </c>
      <c r="B3119" t="str">
        <f>"CR5169"</f>
        <v>CR5169</v>
      </c>
      <c r="C3119" t="s">
        <v>13811</v>
      </c>
    </row>
    <row r="3120" spans="1:3" x14ac:dyDescent="0.25">
      <c r="A3120" t="str">
        <f>"0611861312050"</f>
        <v>0611861312050</v>
      </c>
      <c r="B3120" t="str">
        <f>"CR4762"</f>
        <v>CR4762</v>
      </c>
      <c r="C3120" t="s">
        <v>3032</v>
      </c>
    </row>
    <row r="3121" spans="1:3" x14ac:dyDescent="0.25">
      <c r="A3121" t="str">
        <f>"0611861345050"</f>
        <v>0611861345050</v>
      </c>
      <c r="B3121" t="str">
        <f>"CR4798"</f>
        <v>CR4798</v>
      </c>
      <c r="C3121" t="s">
        <v>3033</v>
      </c>
    </row>
    <row r="3122" spans="1:3" x14ac:dyDescent="0.25">
      <c r="A3122" t="str">
        <f>"0611861276050"</f>
        <v>0611861276050</v>
      </c>
      <c r="B3122" t="str">
        <f>"CR3050"</f>
        <v>CR3050</v>
      </c>
      <c r="C3122" t="s">
        <v>3034</v>
      </c>
    </row>
    <row r="3123" spans="1:3" x14ac:dyDescent="0.25">
      <c r="A3123" t="str">
        <f>"0611861346050"</f>
        <v>0611861346050</v>
      </c>
      <c r="B3123" t="str">
        <f>"CR2133"</f>
        <v>CR2133</v>
      </c>
      <c r="C3123" t="s">
        <v>3035</v>
      </c>
    </row>
    <row r="3124" spans="1:3" x14ac:dyDescent="0.25">
      <c r="A3124" t="str">
        <f>"0611861289050"</f>
        <v>0611861289050</v>
      </c>
      <c r="B3124" t="str">
        <f>"CR4945"</f>
        <v>CR4945</v>
      </c>
      <c r="C3124" t="s">
        <v>3036</v>
      </c>
    </row>
    <row r="3125" spans="1:3" x14ac:dyDescent="0.25">
      <c r="A3125" t="str">
        <f>"0611861277050"</f>
        <v>0611861277050</v>
      </c>
      <c r="B3125" t="str">
        <f>"CR3758"</f>
        <v>CR3758</v>
      </c>
      <c r="C3125" t="s">
        <v>3037</v>
      </c>
    </row>
    <row r="3126" spans="1:3" x14ac:dyDescent="0.25">
      <c r="A3126" t="str">
        <f>"0611861347050"</f>
        <v>0611861347050</v>
      </c>
      <c r="B3126" t="str">
        <f>"CR2135"</f>
        <v>CR2135</v>
      </c>
      <c r="C3126" t="s">
        <v>3040</v>
      </c>
    </row>
    <row r="3127" spans="1:3" x14ac:dyDescent="0.25">
      <c r="A3127" t="str">
        <f>"0611861278050"</f>
        <v>0611861278050</v>
      </c>
      <c r="B3127" t="str">
        <f>"CR2134"</f>
        <v>CR2134</v>
      </c>
      <c r="C3127" t="s">
        <v>3041</v>
      </c>
    </row>
    <row r="3128" spans="1:3" x14ac:dyDescent="0.25">
      <c r="A3128" t="str">
        <f>"0611893554050"</f>
        <v>0611893554050</v>
      </c>
      <c r="B3128" t="str">
        <f>"CR3366"</f>
        <v>CR3366</v>
      </c>
      <c r="C3128" t="s">
        <v>3042</v>
      </c>
    </row>
    <row r="3129" spans="1:3" x14ac:dyDescent="0.25">
      <c r="A3129" t="str">
        <f>"0611861279050"</f>
        <v>0611861279050</v>
      </c>
      <c r="B3129" t="str">
        <f>"CR3366"</f>
        <v>CR3366</v>
      </c>
      <c r="C3129" t="s">
        <v>13812</v>
      </c>
    </row>
    <row r="3130" spans="1:3" x14ac:dyDescent="0.25">
      <c r="A3130" t="str">
        <f>"0611861280050"</f>
        <v>0611861280050</v>
      </c>
      <c r="B3130" t="str">
        <f>"CR2136"</f>
        <v>CR2136</v>
      </c>
      <c r="C3130" t="s">
        <v>3043</v>
      </c>
    </row>
    <row r="3131" spans="1:3" x14ac:dyDescent="0.25">
      <c r="A3131" t="str">
        <f>"0611861283050"</f>
        <v>0611861283050</v>
      </c>
      <c r="B3131" t="str">
        <f>"CR3760"</f>
        <v>CR3760</v>
      </c>
      <c r="C3131" t="s">
        <v>3054</v>
      </c>
    </row>
    <row r="3132" spans="1:3" x14ac:dyDescent="0.25">
      <c r="A3132" t="str">
        <f>"0611861284050"</f>
        <v>0611861284050</v>
      </c>
      <c r="B3132" t="str">
        <f>"CR4768"</f>
        <v>CR4768</v>
      </c>
      <c r="C3132" t="s">
        <v>3046</v>
      </c>
    </row>
    <row r="3133" spans="1:3" x14ac:dyDescent="0.25">
      <c r="A3133" t="str">
        <f>"0611861285050"</f>
        <v>0611861285050</v>
      </c>
      <c r="B3133" t="str">
        <f>"CR3418"</f>
        <v>CR3418</v>
      </c>
      <c r="C3133" t="s">
        <v>3047</v>
      </c>
    </row>
    <row r="3134" spans="1:3" x14ac:dyDescent="0.25">
      <c r="A3134" t="str">
        <f>"0611861286050"</f>
        <v>0611861286050</v>
      </c>
      <c r="B3134" t="str">
        <f>"CR5172"</f>
        <v>CR5172</v>
      </c>
      <c r="C3134" t="s">
        <v>3048</v>
      </c>
    </row>
    <row r="3135" spans="1:3" x14ac:dyDescent="0.25">
      <c r="A3135" t="str">
        <f>"0611861288050"</f>
        <v>0611861288050</v>
      </c>
      <c r="B3135" t="str">
        <f>"CR3592"</f>
        <v>CR3592</v>
      </c>
      <c r="C3135" t="s">
        <v>13813</v>
      </c>
    </row>
    <row r="3136" spans="1:3" x14ac:dyDescent="0.25">
      <c r="A3136" t="str">
        <f>"0611893555050"</f>
        <v>0611893555050</v>
      </c>
      <c r="B3136" t="str">
        <f>"CR3592"</f>
        <v>CR3592</v>
      </c>
      <c r="C3136" t="s">
        <v>3050</v>
      </c>
    </row>
    <row r="3137" spans="1:3" x14ac:dyDescent="0.25">
      <c r="A3137" t="str">
        <f>"0611861348050"</f>
        <v>0611861348050</v>
      </c>
      <c r="B3137" t="str">
        <f>"CR3037"</f>
        <v>CR3037</v>
      </c>
      <c r="C3137" t="s">
        <v>3038</v>
      </c>
    </row>
    <row r="3138" spans="1:3" x14ac:dyDescent="0.25">
      <c r="A3138" t="str">
        <f>"0611861355050"</f>
        <v>0611861355050</v>
      </c>
      <c r="B3138" t="str">
        <f>"CR3038"</f>
        <v>CR3038</v>
      </c>
      <c r="C3138" t="s">
        <v>3044</v>
      </c>
    </row>
    <row r="3139" spans="1:3" x14ac:dyDescent="0.25">
      <c r="A3139" t="str">
        <f>"0611861281050"</f>
        <v>0611861281050</v>
      </c>
      <c r="B3139" t="str">
        <f>"CR3759"</f>
        <v>CR3759</v>
      </c>
      <c r="C3139" t="s">
        <v>3051</v>
      </c>
    </row>
    <row r="3140" spans="1:3" x14ac:dyDescent="0.25">
      <c r="A3140" t="str">
        <f>"0611861282050"</f>
        <v>0611861282050</v>
      </c>
      <c r="B3140" t="str">
        <f>"CR5173"</f>
        <v>CR5173</v>
      </c>
      <c r="C3140" t="s">
        <v>3052</v>
      </c>
    </row>
    <row r="3141" spans="1:3" x14ac:dyDescent="0.25">
      <c r="A3141" t="str">
        <f>"0611861265050"</f>
        <v>0611861265050</v>
      </c>
      <c r="B3141" t="str">
        <f>"CR4088"</f>
        <v>CR4088</v>
      </c>
      <c r="C3141" t="s">
        <v>3057</v>
      </c>
    </row>
    <row r="3142" spans="1:3" x14ac:dyDescent="0.25">
      <c r="A3142" t="str">
        <f>"0611861266050"</f>
        <v>0611861266050</v>
      </c>
      <c r="B3142" t="str">
        <f>"CR3413"</f>
        <v>CR3413</v>
      </c>
      <c r="C3142" t="s">
        <v>3058</v>
      </c>
    </row>
    <row r="3143" spans="1:3" x14ac:dyDescent="0.25">
      <c r="A3143" t="str">
        <f>"0611861428050"</f>
        <v>0611861428050</v>
      </c>
      <c r="B3143" t="str">
        <f>"CR3036"</f>
        <v>CR3036</v>
      </c>
      <c r="C3143" t="s">
        <v>3059</v>
      </c>
    </row>
    <row r="3144" spans="1:3" x14ac:dyDescent="0.25">
      <c r="A3144" t="str">
        <f>"0611861429050"</f>
        <v>0611861429050</v>
      </c>
      <c r="B3144" t="str">
        <f>"CR2149"</f>
        <v>CR2149</v>
      </c>
      <c r="C3144" t="s">
        <v>3060</v>
      </c>
    </row>
    <row r="3145" spans="1:3" x14ac:dyDescent="0.25">
      <c r="A3145" t="str">
        <f>"0611861430050"</f>
        <v>0611861430050</v>
      </c>
      <c r="B3145" t="str">
        <f>"CR3420"</f>
        <v>CR3420</v>
      </c>
      <c r="C3145" t="s">
        <v>3061</v>
      </c>
    </row>
    <row r="3146" spans="1:3" x14ac:dyDescent="0.25">
      <c r="A3146" t="str">
        <f>"0611861431050"</f>
        <v>0611861431050</v>
      </c>
      <c r="B3146" t="str">
        <f>"CR2150"</f>
        <v>CR2150</v>
      </c>
      <c r="C3146" t="s">
        <v>3062</v>
      </c>
    </row>
    <row r="3147" spans="1:3" x14ac:dyDescent="0.25">
      <c r="A3147" t="str">
        <f>"0611861433050"</f>
        <v>0611861433050</v>
      </c>
      <c r="B3147" t="str">
        <f>"CR2152"</f>
        <v>CR2152</v>
      </c>
      <c r="C3147" t="s">
        <v>3063</v>
      </c>
    </row>
    <row r="3148" spans="1:3" x14ac:dyDescent="0.25">
      <c r="A3148" t="str">
        <f>"0611893556050"</f>
        <v>0611893556050</v>
      </c>
      <c r="B3148" t="str">
        <f>"CR4126"</f>
        <v>CR4126</v>
      </c>
      <c r="C3148" t="s">
        <v>3064</v>
      </c>
    </row>
    <row r="3149" spans="1:3" x14ac:dyDescent="0.25">
      <c r="A3149" t="str">
        <f>"0611861434050"</f>
        <v>0611861434050</v>
      </c>
      <c r="B3149" t="str">
        <f>"CR4126"</f>
        <v>CR4126</v>
      </c>
      <c r="C3149" t="s">
        <v>13814</v>
      </c>
    </row>
    <row r="3150" spans="1:3" x14ac:dyDescent="0.25">
      <c r="A3150" t="str">
        <f>"0611861313050"</f>
        <v>0611861313050</v>
      </c>
      <c r="B3150" t="str">
        <f>"CR3284"</f>
        <v>CR3284</v>
      </c>
      <c r="C3150" t="s">
        <v>3065</v>
      </c>
    </row>
    <row r="3151" spans="1:3" x14ac:dyDescent="0.25">
      <c r="A3151" t="str">
        <f>"0611861314050"</f>
        <v>0611861314050</v>
      </c>
      <c r="B3151" t="str">
        <f>"CR3414"</f>
        <v>CR3414</v>
      </c>
      <c r="C3151" t="s">
        <v>3066</v>
      </c>
    </row>
    <row r="3152" spans="1:3" x14ac:dyDescent="0.25">
      <c r="A3152" t="str">
        <f>"0611861315050"</f>
        <v>0611861315050</v>
      </c>
      <c r="B3152" t="str">
        <f>"CR3416"</f>
        <v>CR3416</v>
      </c>
      <c r="C3152" t="s">
        <v>3067</v>
      </c>
    </row>
    <row r="3153" spans="1:3" x14ac:dyDescent="0.25">
      <c r="A3153" t="str">
        <f>"0611861361050"</f>
        <v>0611861361050</v>
      </c>
      <c r="B3153" t="str">
        <f>"CR3035"</f>
        <v>CR3035</v>
      </c>
      <c r="C3153" t="s">
        <v>3068</v>
      </c>
    </row>
    <row r="3154" spans="1:3" x14ac:dyDescent="0.25">
      <c r="A3154" t="str">
        <f>"0611861378050"</f>
        <v>0611861378050</v>
      </c>
      <c r="B3154" t="str">
        <f>"CR3415"</f>
        <v>CR3415</v>
      </c>
      <c r="C3154" t="s">
        <v>3069</v>
      </c>
    </row>
    <row r="3155" spans="1:3" x14ac:dyDescent="0.25">
      <c r="A3155" t="str">
        <f>"0611861296050"</f>
        <v>0611861296050</v>
      </c>
      <c r="B3155" t="str">
        <f>"CR5025"</f>
        <v>CR5025</v>
      </c>
      <c r="C3155" t="s">
        <v>3070</v>
      </c>
    </row>
    <row r="3156" spans="1:3" x14ac:dyDescent="0.25">
      <c r="A3156" t="str">
        <f>"0611884124050"</f>
        <v>0611884124050</v>
      </c>
      <c r="B3156" t="str">
        <f>"CR5402"</f>
        <v>CR5402</v>
      </c>
      <c r="C3156" t="s">
        <v>3073</v>
      </c>
    </row>
    <row r="3157" spans="1:3" x14ac:dyDescent="0.25">
      <c r="A3157" t="str">
        <f>"0611893557050"</f>
        <v>0611893557050</v>
      </c>
      <c r="B3157" t="str">
        <f>"CR5449"</f>
        <v>CR5449</v>
      </c>
      <c r="C3157" t="s">
        <v>3074</v>
      </c>
    </row>
    <row r="3158" spans="1:3" x14ac:dyDescent="0.25">
      <c r="A3158" t="str">
        <f>"0611884125050"</f>
        <v>0611884125050</v>
      </c>
      <c r="B3158" t="str">
        <f>"CR5375"</f>
        <v>CR5375</v>
      </c>
      <c r="C3158" t="s">
        <v>3075</v>
      </c>
    </row>
    <row r="3159" spans="1:3" x14ac:dyDescent="0.25">
      <c r="A3159" t="str">
        <f>"0611884126050"</f>
        <v>0611884126050</v>
      </c>
      <c r="B3159" t="str">
        <f>"CR5325"</f>
        <v>CR5325</v>
      </c>
      <c r="C3159" t="s">
        <v>3076</v>
      </c>
    </row>
    <row r="3160" spans="1:3" x14ac:dyDescent="0.25">
      <c r="A3160" t="str">
        <f>"0611884077050"</f>
        <v>0611884077050</v>
      </c>
      <c r="B3160" t="str">
        <f>"CR5267"</f>
        <v>CR5267</v>
      </c>
      <c r="C3160" t="s">
        <v>3055</v>
      </c>
    </row>
    <row r="3161" spans="1:3" x14ac:dyDescent="0.25">
      <c r="A3161" t="str">
        <f>"0611884127050"</f>
        <v>0611884127050</v>
      </c>
      <c r="B3161" t="str">
        <f>"CR5269"</f>
        <v>CR5269</v>
      </c>
      <c r="C3161" t="s">
        <v>3077</v>
      </c>
    </row>
    <row r="3162" spans="1:3" x14ac:dyDescent="0.25">
      <c r="A3162" t="str">
        <f>"0611861290050"</f>
        <v>0611861290050</v>
      </c>
      <c r="B3162" t="str">
        <f>"CR5168"</f>
        <v>CR5168</v>
      </c>
      <c r="C3162" t="s">
        <v>3078</v>
      </c>
    </row>
    <row r="3163" spans="1:3" x14ac:dyDescent="0.25">
      <c r="A3163" t="str">
        <f>"0611861292050"</f>
        <v>0611861292050</v>
      </c>
      <c r="B3163" t="str">
        <f>"CR5170"</f>
        <v>CR5170</v>
      </c>
      <c r="C3163" t="s">
        <v>3079</v>
      </c>
    </row>
    <row r="3164" spans="1:3" x14ac:dyDescent="0.25">
      <c r="A3164" t="str">
        <f>"0611861293050"</f>
        <v>0611861293050</v>
      </c>
      <c r="B3164" t="str">
        <f>"CR5171"</f>
        <v>CR5171</v>
      </c>
      <c r="C3164" t="s">
        <v>3080</v>
      </c>
    </row>
    <row r="3165" spans="1:3" x14ac:dyDescent="0.25">
      <c r="A3165" t="str">
        <f>"0611861295050"</f>
        <v>0611861295050</v>
      </c>
      <c r="B3165" t="str">
        <f>"CR4127"</f>
        <v>CR4127</v>
      </c>
      <c r="C3165" t="s">
        <v>3071</v>
      </c>
    </row>
    <row r="3166" spans="1:3" x14ac:dyDescent="0.25">
      <c r="A3166" t="str">
        <f>"0611861330050"</f>
        <v>0611861330050</v>
      </c>
      <c r="B3166" t="str">
        <f>"CR3454"</f>
        <v>CR3454</v>
      </c>
      <c r="C3166" t="s">
        <v>13815</v>
      </c>
    </row>
    <row r="3167" spans="1:3" x14ac:dyDescent="0.25">
      <c r="A3167" t="str">
        <f>"0611861302050"</f>
        <v>0611861302050</v>
      </c>
      <c r="B3167" t="str">
        <f>"CR3455"</f>
        <v>CR3455</v>
      </c>
      <c r="C3167" t="s">
        <v>13816</v>
      </c>
    </row>
    <row r="3168" spans="1:3" x14ac:dyDescent="0.25">
      <c r="A3168" t="str">
        <f>"0611861303050"</f>
        <v>0611861303050</v>
      </c>
      <c r="B3168" t="str">
        <f>"CR3456"</f>
        <v>CR3456</v>
      </c>
      <c r="C3168" t="s">
        <v>13817</v>
      </c>
    </row>
    <row r="3169" spans="1:3" x14ac:dyDescent="0.25">
      <c r="A3169" t="str">
        <f>"0611861304050"</f>
        <v>0611861304050</v>
      </c>
      <c r="B3169" t="str">
        <f>"CR3457"</f>
        <v>CR3457</v>
      </c>
      <c r="C3169" t="s">
        <v>13818</v>
      </c>
    </row>
    <row r="3170" spans="1:3" x14ac:dyDescent="0.25">
      <c r="A3170" t="str">
        <f>"0611861426050"</f>
        <v>0611861426050</v>
      </c>
      <c r="B3170" t="str">
        <f>"CR3985"</f>
        <v>CR3985</v>
      </c>
      <c r="C3170" t="s">
        <v>3230</v>
      </c>
    </row>
    <row r="3171" spans="1:3" x14ac:dyDescent="0.25">
      <c r="A3171" t="str">
        <f>"0611861401050"</f>
        <v>0611861401050</v>
      </c>
      <c r="B3171" t="str">
        <f>"CR3877"</f>
        <v>CR3877</v>
      </c>
      <c r="C3171" t="s">
        <v>3153</v>
      </c>
    </row>
    <row r="3172" spans="1:3" x14ac:dyDescent="0.25">
      <c r="A3172" t="str">
        <f>"0611861316050"</f>
        <v>0611861316050</v>
      </c>
      <c r="B3172" t="str">
        <f>"CR3417"</f>
        <v>CR3417</v>
      </c>
      <c r="C3172" t="s">
        <v>3081</v>
      </c>
    </row>
    <row r="3173" spans="1:3" x14ac:dyDescent="0.25">
      <c r="A3173" t="str">
        <f>"0611861317050"</f>
        <v>0611861317050</v>
      </c>
      <c r="B3173" t="str">
        <f>"CR2126"</f>
        <v>CR2126</v>
      </c>
      <c r="C3173" t="s">
        <v>3082</v>
      </c>
    </row>
    <row r="3174" spans="1:3" x14ac:dyDescent="0.25">
      <c r="A3174" t="str">
        <f>"0611861381050"</f>
        <v>0611861381050</v>
      </c>
      <c r="B3174" t="str">
        <f>"CR4128"</f>
        <v>CR4128</v>
      </c>
      <c r="C3174" t="s">
        <v>13819</v>
      </c>
    </row>
    <row r="3175" spans="1:3" x14ac:dyDescent="0.25">
      <c r="A3175" t="str">
        <f>"0611861382050"</f>
        <v>0611861382050</v>
      </c>
      <c r="B3175" t="str">
        <f>"CR3866"</f>
        <v>CR3866</v>
      </c>
      <c r="C3175" t="s">
        <v>3084</v>
      </c>
    </row>
    <row r="3176" spans="1:3" x14ac:dyDescent="0.25">
      <c r="A3176" t="str">
        <f>"0611893558050"</f>
        <v>0611893558050</v>
      </c>
      <c r="B3176" t="str">
        <f>"CR4128"</f>
        <v>CR4128</v>
      </c>
      <c r="C3176" t="s">
        <v>3083</v>
      </c>
    </row>
    <row r="3177" spans="1:3" x14ac:dyDescent="0.25">
      <c r="A3177" t="str">
        <f>"0611893559050"</f>
        <v>0611893559050</v>
      </c>
      <c r="B3177" t="str">
        <f>"CR5450"</f>
        <v>CR5450</v>
      </c>
      <c r="C3177" t="s">
        <v>3085</v>
      </c>
    </row>
    <row r="3178" spans="1:3" x14ac:dyDescent="0.25">
      <c r="A3178" t="str">
        <f>"0611861275050"</f>
        <v>0611861275050</v>
      </c>
      <c r="B3178" t="str">
        <f>"CR3751"</f>
        <v>CR3751</v>
      </c>
      <c r="C3178" t="s">
        <v>3086</v>
      </c>
    </row>
    <row r="3179" spans="1:3" x14ac:dyDescent="0.25">
      <c r="A3179" t="str">
        <f>"0611861321050"</f>
        <v>0611861321050</v>
      </c>
      <c r="B3179" t="str">
        <f>"CR4802"</f>
        <v>CR4802</v>
      </c>
      <c r="C3179" t="s">
        <v>3089</v>
      </c>
    </row>
    <row r="3180" spans="1:3" x14ac:dyDescent="0.25">
      <c r="A3180" t="str">
        <f>"0611861319050"</f>
        <v>0611861319050</v>
      </c>
      <c r="B3180" t="str">
        <f>"CR3987"</f>
        <v>CR3987</v>
      </c>
      <c r="C3180" t="s">
        <v>3090</v>
      </c>
    </row>
    <row r="3181" spans="1:3" x14ac:dyDescent="0.25">
      <c r="A3181" t="str">
        <f>"0611861342050"</f>
        <v>0611861342050</v>
      </c>
      <c r="B3181" t="str">
        <f>"CR4799"</f>
        <v>CR4799</v>
      </c>
      <c r="C3181" t="s">
        <v>3091</v>
      </c>
    </row>
    <row r="3182" spans="1:3" x14ac:dyDescent="0.25">
      <c r="A3182" t="str">
        <f>"0611893560050"</f>
        <v>0611893560050</v>
      </c>
      <c r="B3182" t="str">
        <f>"CR5451"</f>
        <v>CR5451</v>
      </c>
      <c r="C3182" t="s">
        <v>3092</v>
      </c>
    </row>
    <row r="3183" spans="1:3" x14ac:dyDescent="0.25">
      <c r="A3183" t="str">
        <f>"0611861369050"</f>
        <v>0611861369050</v>
      </c>
      <c r="B3183" t="str">
        <f>"CR3859"</f>
        <v>CR3859</v>
      </c>
      <c r="C3183" t="s">
        <v>3087</v>
      </c>
    </row>
    <row r="3184" spans="1:3" x14ac:dyDescent="0.25">
      <c r="A3184" t="str">
        <f>"0611861371050"</f>
        <v>0611861371050</v>
      </c>
      <c r="B3184" t="str">
        <f>"CR3229"</f>
        <v>CR3229</v>
      </c>
      <c r="C3184" t="s">
        <v>3088</v>
      </c>
    </row>
    <row r="3185" spans="1:3" x14ac:dyDescent="0.25">
      <c r="A3185" t="str">
        <f>"0611861372050"</f>
        <v>0611861372050</v>
      </c>
      <c r="B3185" t="str">
        <f>"CR3763"</f>
        <v>CR3763</v>
      </c>
      <c r="C3185" t="s">
        <v>3093</v>
      </c>
    </row>
    <row r="3186" spans="1:3" x14ac:dyDescent="0.25">
      <c r="A3186" t="str">
        <f>"0611861374050"</f>
        <v>0611861374050</v>
      </c>
      <c r="B3186" t="str">
        <f>"CR3770"</f>
        <v>CR3770</v>
      </c>
      <c r="C3186" t="s">
        <v>3095</v>
      </c>
    </row>
    <row r="3187" spans="1:3" x14ac:dyDescent="0.25">
      <c r="A3187" t="str">
        <f>"0611861375050"</f>
        <v>0611861375050</v>
      </c>
      <c r="B3187" t="str">
        <f>"CR3861"</f>
        <v>CR3861</v>
      </c>
      <c r="C3187" t="s">
        <v>3096</v>
      </c>
    </row>
    <row r="3188" spans="1:3" x14ac:dyDescent="0.25">
      <c r="A3188" t="str">
        <f>"0611861376050"</f>
        <v>0611861376050</v>
      </c>
      <c r="B3188" t="str">
        <f>"CR3860"</f>
        <v>CR3860</v>
      </c>
      <c r="C3188" t="s">
        <v>3097</v>
      </c>
    </row>
    <row r="3189" spans="1:3" x14ac:dyDescent="0.25">
      <c r="A3189" t="str">
        <f>"0611893561050"</f>
        <v>0611893561050</v>
      </c>
      <c r="B3189" t="str">
        <f>"CR5452"</f>
        <v>CR5452</v>
      </c>
      <c r="C3189" t="s">
        <v>3094</v>
      </c>
    </row>
    <row r="3190" spans="1:3" x14ac:dyDescent="0.25">
      <c r="A3190" t="str">
        <f>"0611893562050"</f>
        <v>0611893562050</v>
      </c>
      <c r="B3190" t="str">
        <f>"CR5453"</f>
        <v>CR5453</v>
      </c>
      <c r="C3190" t="s">
        <v>3098</v>
      </c>
    </row>
    <row r="3191" spans="1:3" x14ac:dyDescent="0.25">
      <c r="A3191" t="str">
        <f>"0611893563050"</f>
        <v>0611893563050</v>
      </c>
      <c r="B3191" t="str">
        <f>"CR5454"</f>
        <v>CR5454</v>
      </c>
      <c r="C3191" t="s">
        <v>3099</v>
      </c>
    </row>
    <row r="3192" spans="1:3" x14ac:dyDescent="0.25">
      <c r="A3192" t="str">
        <f>"0611893564050"</f>
        <v>0611893564050</v>
      </c>
      <c r="B3192" t="str">
        <f>"CR5455"</f>
        <v>CR5455</v>
      </c>
      <c r="C3192" t="s">
        <v>3100</v>
      </c>
    </row>
    <row r="3193" spans="1:3" x14ac:dyDescent="0.25">
      <c r="A3193" t="str">
        <f>"0611861320050"</f>
        <v>0611861320050</v>
      </c>
      <c r="B3193" t="str">
        <f>"CR3926"</f>
        <v>CR3926</v>
      </c>
      <c r="C3193" t="s">
        <v>3101</v>
      </c>
    </row>
    <row r="3194" spans="1:3" x14ac:dyDescent="0.25">
      <c r="A3194" t="str">
        <f>"0611893565050"</f>
        <v>0611893565050</v>
      </c>
      <c r="B3194" t="str">
        <f>"CR5456"</f>
        <v>CR5456</v>
      </c>
      <c r="C3194" t="s">
        <v>3102</v>
      </c>
    </row>
    <row r="3195" spans="1:3" x14ac:dyDescent="0.25">
      <c r="A3195" t="str">
        <f>"0611861424050"</f>
        <v>0611861424050</v>
      </c>
      <c r="B3195" t="str">
        <f>"CR3449"</f>
        <v>CR3449</v>
      </c>
      <c r="C3195" t="s">
        <v>3103</v>
      </c>
    </row>
    <row r="3196" spans="1:3" x14ac:dyDescent="0.25">
      <c r="A3196" t="str">
        <f>"0611861425050"</f>
        <v>0611861425050</v>
      </c>
      <c r="B3196" t="str">
        <f>"CR4129"</f>
        <v>CR4129</v>
      </c>
      <c r="C3196" t="s">
        <v>3104</v>
      </c>
    </row>
    <row r="3197" spans="1:3" x14ac:dyDescent="0.25">
      <c r="A3197" t="str">
        <f>"0611861323050"</f>
        <v>0611861323050</v>
      </c>
      <c r="B3197" t="str">
        <f>"CR3927"</f>
        <v>CR3927</v>
      </c>
      <c r="C3197" t="s">
        <v>3107</v>
      </c>
    </row>
    <row r="3198" spans="1:3" x14ac:dyDescent="0.25">
      <c r="A3198" t="str">
        <f>"0611861324050"</f>
        <v>0611861324050</v>
      </c>
      <c r="B3198" t="str">
        <f>"CR4808"</f>
        <v>CR4808</v>
      </c>
      <c r="C3198" t="s">
        <v>3108</v>
      </c>
    </row>
    <row r="3199" spans="1:3" x14ac:dyDescent="0.25">
      <c r="A3199" t="str">
        <f>"0611861325050"</f>
        <v>0611861325050</v>
      </c>
      <c r="B3199" t="str">
        <f>"CR5026"</f>
        <v>CR5026</v>
      </c>
      <c r="C3199" t="s">
        <v>3109</v>
      </c>
    </row>
    <row r="3200" spans="1:3" x14ac:dyDescent="0.25">
      <c r="A3200" t="str">
        <f>"0611861326050"</f>
        <v>0611861326050</v>
      </c>
      <c r="B3200" t="str">
        <f>"CR4809"</f>
        <v>CR4809</v>
      </c>
      <c r="C3200" t="s">
        <v>3110</v>
      </c>
    </row>
    <row r="3201" spans="1:3" x14ac:dyDescent="0.25">
      <c r="A3201" t="str">
        <f>"0611861327050"</f>
        <v>0611861327050</v>
      </c>
      <c r="B3201" t="str">
        <f>"CR4810"</f>
        <v>CR4810</v>
      </c>
      <c r="C3201" t="s">
        <v>3111</v>
      </c>
    </row>
    <row r="3202" spans="1:3" x14ac:dyDescent="0.25">
      <c r="A3202" t="str">
        <f>"0611861328050"</f>
        <v>0611861328050</v>
      </c>
      <c r="B3202" t="str">
        <f>"CR4811"</f>
        <v>CR4811</v>
      </c>
      <c r="C3202" t="s">
        <v>3112</v>
      </c>
    </row>
    <row r="3203" spans="1:3" x14ac:dyDescent="0.25">
      <c r="A3203" t="str">
        <f>"0611884128050"</f>
        <v>0611884128050</v>
      </c>
      <c r="B3203" t="str">
        <f>"CR5403"</f>
        <v>CR5403</v>
      </c>
      <c r="C3203" t="s">
        <v>3113</v>
      </c>
    </row>
    <row r="3204" spans="1:3" x14ac:dyDescent="0.25">
      <c r="A3204" t="str">
        <f>"0611861329050"</f>
        <v>0611861329050</v>
      </c>
      <c r="B3204" t="str">
        <f>"CR3755"</f>
        <v>CR3755</v>
      </c>
      <c r="C3204" t="s">
        <v>3114</v>
      </c>
    </row>
    <row r="3205" spans="1:3" x14ac:dyDescent="0.25">
      <c r="A3205" t="str">
        <f>"0611893566050"</f>
        <v>0611893566050</v>
      </c>
      <c r="B3205" t="str">
        <f>"CR3454"</f>
        <v>CR3454</v>
      </c>
      <c r="C3205" t="s">
        <v>3115</v>
      </c>
    </row>
    <row r="3206" spans="1:3" x14ac:dyDescent="0.25">
      <c r="A3206" t="str">
        <f>"0611884129050"</f>
        <v>0611884129050</v>
      </c>
      <c r="B3206" t="str">
        <f>"CR5254"</f>
        <v>CR5254</v>
      </c>
      <c r="C3206" t="s">
        <v>3116</v>
      </c>
    </row>
    <row r="3207" spans="1:3" x14ac:dyDescent="0.25">
      <c r="A3207" t="str">
        <f>"0611861299050"</f>
        <v>0611861299050</v>
      </c>
      <c r="B3207" t="str">
        <f>"CR5027"</f>
        <v>CR5027</v>
      </c>
      <c r="C3207" t="s">
        <v>3117</v>
      </c>
    </row>
    <row r="3208" spans="1:3" x14ac:dyDescent="0.25">
      <c r="A3208" t="str">
        <f>"0611861334050"</f>
        <v>0611861334050</v>
      </c>
      <c r="B3208" t="str">
        <f>"CR4761"</f>
        <v>CR4761</v>
      </c>
      <c r="C3208" t="s">
        <v>3119</v>
      </c>
    </row>
    <row r="3209" spans="1:3" x14ac:dyDescent="0.25">
      <c r="A3209" t="str">
        <f>"0611861338050"</f>
        <v>0611861338050</v>
      </c>
      <c r="B3209" t="str">
        <f>"CR3757"</f>
        <v>CR3757</v>
      </c>
      <c r="C3209" t="s">
        <v>3120</v>
      </c>
    </row>
    <row r="3210" spans="1:3" x14ac:dyDescent="0.25">
      <c r="A3210" t="str">
        <f>"0611861340050"</f>
        <v>0611861340050</v>
      </c>
      <c r="B3210" t="str">
        <f>"CR3288"</f>
        <v>CR3288</v>
      </c>
      <c r="C3210" t="s">
        <v>3121</v>
      </c>
    </row>
    <row r="3211" spans="1:3" x14ac:dyDescent="0.25">
      <c r="A3211" t="str">
        <f>"0611861341050"</f>
        <v>0611861341050</v>
      </c>
      <c r="B3211" t="str">
        <f>"CR2132"</f>
        <v>CR2132</v>
      </c>
      <c r="C3211" t="s">
        <v>3122</v>
      </c>
    </row>
    <row r="3212" spans="1:3" x14ac:dyDescent="0.25">
      <c r="A3212" t="str">
        <f>"0611884130050"</f>
        <v>0611884130050</v>
      </c>
      <c r="B3212" t="str">
        <f>"CR5253"</f>
        <v>CR5253</v>
      </c>
      <c r="C3212" t="s">
        <v>3123</v>
      </c>
    </row>
    <row r="3213" spans="1:3" x14ac:dyDescent="0.25">
      <c r="A3213" t="str">
        <f>"0611861287050"</f>
        <v>0611861287050</v>
      </c>
      <c r="B3213" t="str">
        <f>"CR2137"</f>
        <v>CR2137</v>
      </c>
      <c r="C3213" t="s">
        <v>3124</v>
      </c>
    </row>
    <row r="3214" spans="1:3" x14ac:dyDescent="0.25">
      <c r="A3214" t="str">
        <f>"0611861305050"</f>
        <v>0611861305050</v>
      </c>
      <c r="B3214" t="str">
        <f>"CR4586"</f>
        <v>CR4586</v>
      </c>
      <c r="C3214" t="s">
        <v>3125</v>
      </c>
    </row>
    <row r="3215" spans="1:3" x14ac:dyDescent="0.25">
      <c r="A3215" t="str">
        <f>"0611861358050"</f>
        <v>0611861358050</v>
      </c>
      <c r="B3215" t="str">
        <f>"CR3287"</f>
        <v>CR3287</v>
      </c>
      <c r="C3215" t="s">
        <v>3126</v>
      </c>
    </row>
    <row r="3216" spans="1:3" x14ac:dyDescent="0.25">
      <c r="A3216" t="str">
        <f>"0611861306050"</f>
        <v>0611861306050</v>
      </c>
      <c r="B3216" t="str">
        <f>"CR4587"</f>
        <v>CR4587</v>
      </c>
      <c r="C3216" t="s">
        <v>3127</v>
      </c>
    </row>
    <row r="3217" spans="1:3" x14ac:dyDescent="0.25">
      <c r="A3217" t="str">
        <f>"0611893567050"</f>
        <v>0611893567050</v>
      </c>
      <c r="B3217" t="str">
        <f>"CR5457"</f>
        <v>CR5457</v>
      </c>
      <c r="C3217" t="s">
        <v>3128</v>
      </c>
    </row>
    <row r="3218" spans="1:3" x14ac:dyDescent="0.25">
      <c r="A3218" t="str">
        <f>"0611861307050"</f>
        <v>0611861307050</v>
      </c>
      <c r="B3218" t="str">
        <f>"CR4588"</f>
        <v>CR4588</v>
      </c>
      <c r="C3218" t="s">
        <v>3129</v>
      </c>
    </row>
    <row r="3219" spans="1:3" x14ac:dyDescent="0.25">
      <c r="A3219" t="str">
        <f>"0611893568050"</f>
        <v>0611893568050</v>
      </c>
      <c r="B3219" t="str">
        <f>"CR5458"</f>
        <v>CR5458</v>
      </c>
      <c r="C3219" t="s">
        <v>3130</v>
      </c>
    </row>
    <row r="3220" spans="1:3" x14ac:dyDescent="0.25">
      <c r="A3220" t="str">
        <f>"0611893569050"</f>
        <v>0611893569050</v>
      </c>
      <c r="B3220" t="str">
        <f>"CR5169"</f>
        <v>CR5169</v>
      </c>
      <c r="C3220" t="s">
        <v>3131</v>
      </c>
    </row>
    <row r="3221" spans="1:3" x14ac:dyDescent="0.25">
      <c r="A3221" t="str">
        <f>"0611861294050"</f>
        <v>0611861294050</v>
      </c>
      <c r="B3221" t="str">
        <f>"CR4771"</f>
        <v>CR4771</v>
      </c>
      <c r="C3221" t="s">
        <v>3053</v>
      </c>
    </row>
    <row r="3222" spans="1:3" x14ac:dyDescent="0.25">
      <c r="A3222" t="str">
        <f>"0611861364050"</f>
        <v>0611861364050</v>
      </c>
      <c r="B3222" t="str">
        <f>"CR4760"</f>
        <v>CR4760</v>
      </c>
      <c r="C3222" t="s">
        <v>3132</v>
      </c>
    </row>
    <row r="3223" spans="1:3" x14ac:dyDescent="0.25">
      <c r="A3223" t="str">
        <f>"0611861366050"</f>
        <v>0611861366050</v>
      </c>
      <c r="B3223" t="str">
        <f>"CR3886"</f>
        <v>CR3886</v>
      </c>
      <c r="C3223" t="s">
        <v>3133</v>
      </c>
    </row>
    <row r="3224" spans="1:3" x14ac:dyDescent="0.25">
      <c r="A3224" t="str">
        <f>"0611861373050"</f>
        <v>0611861373050</v>
      </c>
      <c r="B3224" t="str">
        <f>"CR3231"</f>
        <v>CR3231</v>
      </c>
      <c r="C3224" t="s">
        <v>3134</v>
      </c>
    </row>
    <row r="3225" spans="1:3" x14ac:dyDescent="0.25">
      <c r="A3225" t="str">
        <f>"0611884131050"</f>
        <v>0611884131050</v>
      </c>
      <c r="B3225" t="str">
        <f>"CR5362"</f>
        <v>CR5362</v>
      </c>
      <c r="C3225" t="s">
        <v>3135</v>
      </c>
    </row>
    <row r="3226" spans="1:3" x14ac:dyDescent="0.25">
      <c r="A3226" t="str">
        <f>"0611861308050"</f>
        <v>0611861308050</v>
      </c>
      <c r="B3226" t="str">
        <f>"CR5250"</f>
        <v>CR5250</v>
      </c>
      <c r="C3226" t="s">
        <v>3136</v>
      </c>
    </row>
    <row r="3227" spans="1:3" x14ac:dyDescent="0.25">
      <c r="A3227" t="str">
        <f>"0611884132050"</f>
        <v>0611884132050</v>
      </c>
      <c r="B3227" t="str">
        <f>"CR5388"</f>
        <v>CR5388</v>
      </c>
      <c r="C3227" t="s">
        <v>3137</v>
      </c>
    </row>
    <row r="3228" spans="1:3" x14ac:dyDescent="0.25">
      <c r="A3228" t="str">
        <f>"0611861385050"</f>
        <v>0611861385050</v>
      </c>
      <c r="B3228" t="str">
        <f>"CR4956"</f>
        <v>CR4956</v>
      </c>
      <c r="C3228" t="s">
        <v>3138</v>
      </c>
    </row>
    <row r="3229" spans="1:3" x14ac:dyDescent="0.25">
      <c r="A3229" t="str">
        <f>"0611861331050"</f>
        <v>0611861331050</v>
      </c>
      <c r="B3229" t="str">
        <f>"CR4948"</f>
        <v>CR4948</v>
      </c>
      <c r="C3229" t="s">
        <v>3139</v>
      </c>
    </row>
    <row r="3230" spans="1:3" x14ac:dyDescent="0.25">
      <c r="A3230" t="str">
        <f>"0611861386050"</f>
        <v>0611861386050</v>
      </c>
      <c r="B3230" t="str">
        <f>"CR5037"</f>
        <v>CR5037</v>
      </c>
      <c r="C3230" t="s">
        <v>3140</v>
      </c>
    </row>
    <row r="3231" spans="1:3" x14ac:dyDescent="0.25">
      <c r="A3231" t="str">
        <f>"0611861417050"</f>
        <v>0611861417050</v>
      </c>
      <c r="B3231" t="str">
        <f>"CR4952"</f>
        <v>CR4952</v>
      </c>
      <c r="C3231" t="s">
        <v>3141</v>
      </c>
    </row>
    <row r="3232" spans="1:3" x14ac:dyDescent="0.25">
      <c r="A3232" t="str">
        <f>"0611861309050"</f>
        <v>0611861309050</v>
      </c>
      <c r="B3232" t="str">
        <f>"CR4590"</f>
        <v>CR4590</v>
      </c>
      <c r="C3232" t="s">
        <v>3142</v>
      </c>
    </row>
    <row r="3233" spans="1:3" x14ac:dyDescent="0.25">
      <c r="A3233" t="str">
        <f>"0611861310050"</f>
        <v>0611861310050</v>
      </c>
      <c r="B3233" t="str">
        <f>"CR4591"</f>
        <v>CR4591</v>
      </c>
      <c r="C3233" t="s">
        <v>3143</v>
      </c>
    </row>
    <row r="3234" spans="1:3" x14ac:dyDescent="0.25">
      <c r="A3234" t="str">
        <f>"0611861350050"</f>
        <v>0611861350050</v>
      </c>
      <c r="B3234" t="str">
        <f>"CR3762"</f>
        <v>CR3762</v>
      </c>
      <c r="C3234" t="s">
        <v>3144</v>
      </c>
    </row>
    <row r="3235" spans="1:3" x14ac:dyDescent="0.25">
      <c r="A3235" t="str">
        <f>"0611861365050"</f>
        <v>0611861365050</v>
      </c>
      <c r="B3235" t="str">
        <f>"CR3764"</f>
        <v>CR3764</v>
      </c>
      <c r="C3235" t="s">
        <v>3145</v>
      </c>
    </row>
    <row r="3236" spans="1:3" x14ac:dyDescent="0.25">
      <c r="A3236" t="str">
        <f>"0611861390050"</f>
        <v>0611861390050</v>
      </c>
      <c r="B3236" t="str">
        <f>"CR3765"</f>
        <v>CR3765</v>
      </c>
      <c r="C3236" t="s">
        <v>3146</v>
      </c>
    </row>
    <row r="3237" spans="1:3" x14ac:dyDescent="0.25">
      <c r="A3237" t="str">
        <f>"0611861407050"</f>
        <v>0611861407050</v>
      </c>
      <c r="B3237" t="str">
        <f>"CR3768"</f>
        <v>CR3768</v>
      </c>
      <c r="C3237" t="s">
        <v>3147</v>
      </c>
    </row>
    <row r="3238" spans="1:3" x14ac:dyDescent="0.25">
      <c r="A3238" t="str">
        <f>"0611861411050"</f>
        <v>0611861411050</v>
      </c>
      <c r="B3238" t="str">
        <f>"CR3769"</f>
        <v>CR3769</v>
      </c>
      <c r="C3238" t="s">
        <v>3148</v>
      </c>
    </row>
    <row r="3239" spans="1:3" x14ac:dyDescent="0.25">
      <c r="A3239" t="str">
        <f>"0611884134050"</f>
        <v>0611884134050</v>
      </c>
      <c r="B3239" t="str">
        <f>"CR5356"</f>
        <v>CR5356</v>
      </c>
      <c r="C3239" t="s">
        <v>3149</v>
      </c>
    </row>
    <row r="3240" spans="1:3" x14ac:dyDescent="0.25">
      <c r="A3240" t="str">
        <f>"0611884135050"</f>
        <v>0611884135050</v>
      </c>
      <c r="B3240" t="str">
        <f>"CR5272"</f>
        <v>CR5272</v>
      </c>
      <c r="C3240" t="s">
        <v>3150</v>
      </c>
    </row>
    <row r="3241" spans="1:3" x14ac:dyDescent="0.25">
      <c r="A3241" t="str">
        <f>"0611861394050"</f>
        <v>0611861394050</v>
      </c>
      <c r="B3241" t="str">
        <f>"CR2146"</f>
        <v>CR2146</v>
      </c>
      <c r="C3241" t="s">
        <v>3151</v>
      </c>
    </row>
    <row r="3242" spans="1:3" x14ac:dyDescent="0.25">
      <c r="A3242" t="str">
        <f>"0611861396050"</f>
        <v>0611861396050</v>
      </c>
      <c r="B3242" t="str">
        <f>"CR4763"</f>
        <v>CR4763</v>
      </c>
      <c r="C3242" t="s">
        <v>3152</v>
      </c>
    </row>
    <row r="3243" spans="1:3" x14ac:dyDescent="0.25">
      <c r="A3243" t="str">
        <f>"0611861402050"</f>
        <v>0611861402050</v>
      </c>
      <c r="B3243" t="str">
        <f>"CR4804"</f>
        <v>CR4804</v>
      </c>
      <c r="C3243" t="s">
        <v>3154</v>
      </c>
    </row>
    <row r="3244" spans="1:3" x14ac:dyDescent="0.25">
      <c r="A3244" t="str">
        <f>"0611861403050"</f>
        <v>0611861403050</v>
      </c>
      <c r="B3244" t="str">
        <f>"CR4806"</f>
        <v>CR4806</v>
      </c>
      <c r="C3244" t="s">
        <v>3155</v>
      </c>
    </row>
    <row r="3245" spans="1:3" x14ac:dyDescent="0.25">
      <c r="A3245" t="str">
        <f>"0611861404050"</f>
        <v>0611861404050</v>
      </c>
      <c r="B3245" t="str">
        <f>"CR4807"</f>
        <v>CR4807</v>
      </c>
      <c r="C3245" t="s">
        <v>3156</v>
      </c>
    </row>
    <row r="3246" spans="1:3" x14ac:dyDescent="0.25">
      <c r="A3246" t="str">
        <f>"0611861405050"</f>
        <v>0611861405050</v>
      </c>
      <c r="B3246" t="str">
        <f>"CR4805"</f>
        <v>CR4805</v>
      </c>
      <c r="C3246" t="s">
        <v>3157</v>
      </c>
    </row>
    <row r="3247" spans="1:3" x14ac:dyDescent="0.25">
      <c r="A3247" t="str">
        <f>"0611861406050"</f>
        <v>0611861406050</v>
      </c>
      <c r="B3247" t="str">
        <f>"CR3056"</f>
        <v>CR3056</v>
      </c>
      <c r="C3247" t="s">
        <v>3158</v>
      </c>
    </row>
    <row r="3248" spans="1:3" x14ac:dyDescent="0.25">
      <c r="A3248" t="str">
        <f>"0611861409050"</f>
        <v>0611861409050</v>
      </c>
      <c r="B3248" t="str">
        <f>"CR5022"</f>
        <v>CR5022</v>
      </c>
      <c r="C3248" t="s">
        <v>3160</v>
      </c>
    </row>
    <row r="3249" spans="1:3" x14ac:dyDescent="0.25">
      <c r="A3249" t="str">
        <f>"0611861410050"</f>
        <v>0611861410050</v>
      </c>
      <c r="B3249" t="str">
        <f>"CR5024"</f>
        <v>CR5024</v>
      </c>
      <c r="C3249" t="s">
        <v>3159</v>
      </c>
    </row>
    <row r="3250" spans="1:3" x14ac:dyDescent="0.25">
      <c r="A3250" t="str">
        <f>"0611884136050"</f>
        <v>0611884136050</v>
      </c>
      <c r="B3250" t="str">
        <f>"CR5357"</f>
        <v>CR5357</v>
      </c>
      <c r="C3250" t="s">
        <v>3161</v>
      </c>
    </row>
    <row r="3251" spans="1:3" x14ac:dyDescent="0.25">
      <c r="A3251" t="str">
        <f>"0611861311050"</f>
        <v>0611861311050</v>
      </c>
      <c r="B3251" t="str">
        <f>"CR5028"</f>
        <v>CR5028</v>
      </c>
      <c r="C3251" t="s">
        <v>3162</v>
      </c>
    </row>
    <row r="3252" spans="1:3" x14ac:dyDescent="0.25">
      <c r="A3252" t="str">
        <f>"0611861408050"</f>
        <v>0611861408050</v>
      </c>
      <c r="B3252" t="str">
        <f>"CR4801"</f>
        <v>CR4801</v>
      </c>
      <c r="C3252" t="s">
        <v>3163</v>
      </c>
    </row>
    <row r="3253" spans="1:3" x14ac:dyDescent="0.25">
      <c r="A3253" t="str">
        <f>"0611861418050"</f>
        <v>0611861418050</v>
      </c>
      <c r="B3253" t="str">
        <f>"CR5178"</f>
        <v>CR5178</v>
      </c>
      <c r="C3253" t="s">
        <v>3165</v>
      </c>
    </row>
    <row r="3254" spans="1:3" x14ac:dyDescent="0.25">
      <c r="A3254" t="str">
        <f>"0611861297050"</f>
        <v>0611861297050</v>
      </c>
      <c r="B3254" t="str">
        <f>"CR5036"</f>
        <v>CR5036</v>
      </c>
      <c r="C3254" t="s">
        <v>3166</v>
      </c>
    </row>
    <row r="3255" spans="1:3" x14ac:dyDescent="0.25">
      <c r="A3255" t="str">
        <f>"0611861419050"</f>
        <v>0611861419050</v>
      </c>
      <c r="B3255" t="str">
        <f>"CR4812"</f>
        <v>CR4812</v>
      </c>
      <c r="C3255" t="s">
        <v>3167</v>
      </c>
    </row>
    <row r="3256" spans="1:3" x14ac:dyDescent="0.25">
      <c r="A3256" t="str">
        <f>"0611861420050"</f>
        <v>0611861420050</v>
      </c>
      <c r="B3256" t="str">
        <f>"CR4813"</f>
        <v>CR4813</v>
      </c>
      <c r="C3256" t="s">
        <v>3168</v>
      </c>
    </row>
    <row r="3257" spans="1:3" x14ac:dyDescent="0.25">
      <c r="A3257" t="str">
        <f>"0611861421050"</f>
        <v>0611861421050</v>
      </c>
      <c r="B3257" t="str">
        <f>"CR5179"</f>
        <v>CR5179</v>
      </c>
      <c r="C3257" t="s">
        <v>3169</v>
      </c>
    </row>
    <row r="3258" spans="1:3" x14ac:dyDescent="0.25">
      <c r="A3258" t="str">
        <f>"0611884137050"</f>
        <v>0611884137050</v>
      </c>
      <c r="B3258" t="str">
        <f>"CR5342"</f>
        <v>CR5342</v>
      </c>
      <c r="C3258" t="s">
        <v>3170</v>
      </c>
    </row>
    <row r="3259" spans="1:3" x14ac:dyDescent="0.25">
      <c r="A3259" t="str">
        <f>"0611884138050"</f>
        <v>0611884138050</v>
      </c>
      <c r="B3259" t="str">
        <f>"CR5358"</f>
        <v>CR5358</v>
      </c>
      <c r="C3259" t="s">
        <v>3171</v>
      </c>
    </row>
    <row r="3260" spans="1:3" x14ac:dyDescent="0.25">
      <c r="A3260" t="str">
        <f>"0611884139050"</f>
        <v>0611884139050</v>
      </c>
      <c r="B3260" t="str">
        <f>"CR5336"</f>
        <v>CR5336</v>
      </c>
      <c r="C3260" t="s">
        <v>3172</v>
      </c>
    </row>
    <row r="3261" spans="1:3" x14ac:dyDescent="0.25">
      <c r="A3261" t="str">
        <f>"0611893570050"</f>
        <v>0611893570050</v>
      </c>
      <c r="B3261" t="str">
        <f>"CR5433"</f>
        <v>CR5433</v>
      </c>
      <c r="C3261" t="s">
        <v>3178</v>
      </c>
    </row>
    <row r="3262" spans="1:3" x14ac:dyDescent="0.25">
      <c r="A3262" t="str">
        <f>"0611861267050"</f>
        <v>0611861267050</v>
      </c>
      <c r="B3262" t="str">
        <f>"CR2985"</f>
        <v>CR2985</v>
      </c>
      <c r="C3262" t="s">
        <v>3173</v>
      </c>
    </row>
    <row r="3263" spans="1:3" x14ac:dyDescent="0.25">
      <c r="A3263" t="str">
        <f>"0611861301050"</f>
        <v>0611861301050</v>
      </c>
      <c r="B3263" t="str">
        <f>"CR3752"</f>
        <v>CR3752</v>
      </c>
      <c r="C3263" t="s">
        <v>3175</v>
      </c>
    </row>
    <row r="3264" spans="1:3" x14ac:dyDescent="0.25">
      <c r="A3264" t="str">
        <f>"0611861370050"</f>
        <v>0611861370050</v>
      </c>
      <c r="B3264" t="str">
        <f>"CR3754"</f>
        <v>CR3754</v>
      </c>
      <c r="C3264" t="s">
        <v>3176</v>
      </c>
    </row>
    <row r="3265" spans="1:3" x14ac:dyDescent="0.25">
      <c r="A3265" t="str">
        <f>"0611861388050"</f>
        <v>0611861388050</v>
      </c>
      <c r="B3265" t="str">
        <f>"CR2142"</f>
        <v>CR2142</v>
      </c>
      <c r="C3265" t="s">
        <v>3179</v>
      </c>
    </row>
    <row r="3266" spans="1:3" x14ac:dyDescent="0.25">
      <c r="A3266" t="str">
        <f>"0611861393050"</f>
        <v>0611861393050</v>
      </c>
      <c r="B3266" t="str">
        <f>"CR2145"</f>
        <v>CR2145</v>
      </c>
      <c r="C3266" t="s">
        <v>3180</v>
      </c>
    </row>
    <row r="3267" spans="1:3" x14ac:dyDescent="0.25">
      <c r="A3267" t="str">
        <f>"0611861395050"</f>
        <v>0611861395050</v>
      </c>
      <c r="B3267" t="str">
        <f>"CR3054"</f>
        <v>CR3054</v>
      </c>
      <c r="C3267" t="s">
        <v>3181</v>
      </c>
    </row>
    <row r="3268" spans="1:3" x14ac:dyDescent="0.25">
      <c r="A3268" t="str">
        <f>"0611861397050"</f>
        <v>0611861397050</v>
      </c>
      <c r="B3268" t="str">
        <f>"CR3766"</f>
        <v>CR3766</v>
      </c>
      <c r="C3268" t="s">
        <v>3182</v>
      </c>
    </row>
    <row r="3269" spans="1:3" x14ac:dyDescent="0.25">
      <c r="A3269" t="str">
        <f>"0611906549050"</f>
        <v>0611906549050</v>
      </c>
      <c r="B3269" t="str">
        <f>"CR2148"</f>
        <v>CR2148</v>
      </c>
      <c r="C3269" t="s">
        <v>3118</v>
      </c>
    </row>
    <row r="3270" spans="1:3" x14ac:dyDescent="0.25">
      <c r="A3270" t="str">
        <f>"0611861414050"</f>
        <v>0611861414050</v>
      </c>
      <c r="B3270" t="str">
        <f>"CR3408"</f>
        <v>CR3408</v>
      </c>
      <c r="C3270" t="s">
        <v>13820</v>
      </c>
    </row>
    <row r="3271" spans="1:3" x14ac:dyDescent="0.25">
      <c r="A3271" t="str">
        <f>"0611861413050"</f>
        <v>0611861413050</v>
      </c>
      <c r="B3271" t="str">
        <f>"CR4137"</f>
        <v>CR4137</v>
      </c>
      <c r="C3271" t="s">
        <v>3183</v>
      </c>
    </row>
    <row r="3272" spans="1:3" x14ac:dyDescent="0.25">
      <c r="A3272" t="str">
        <f>"0611861360050"</f>
        <v>0611861360050</v>
      </c>
      <c r="B3272" t="str">
        <f>"CR4125"</f>
        <v>CR4125</v>
      </c>
      <c r="C3272" t="s">
        <v>3184</v>
      </c>
    </row>
    <row r="3273" spans="1:3" x14ac:dyDescent="0.25">
      <c r="A3273" t="str">
        <f>"0611861269050"</f>
        <v>0611861269050</v>
      </c>
      <c r="B3273" t="str">
        <f>"CR5175"</f>
        <v>CR5175</v>
      </c>
      <c r="C3273" t="s">
        <v>3190</v>
      </c>
    </row>
    <row r="3274" spans="1:3" x14ac:dyDescent="0.25">
      <c r="A3274" t="str">
        <f>"0611861270050"</f>
        <v>0611861270050</v>
      </c>
      <c r="B3274" t="str">
        <f>"CR3419"</f>
        <v>CR3419</v>
      </c>
      <c r="C3274" t="s">
        <v>3187</v>
      </c>
    </row>
    <row r="3275" spans="1:3" x14ac:dyDescent="0.25">
      <c r="A3275" t="str">
        <f>"0611861271050"</f>
        <v>0611861271050</v>
      </c>
      <c r="B3275" t="str">
        <f>"CR3181"</f>
        <v>CR3181</v>
      </c>
      <c r="C3275" t="s">
        <v>3188</v>
      </c>
    </row>
    <row r="3276" spans="1:3" x14ac:dyDescent="0.25">
      <c r="A3276" t="str">
        <f>"0611861272050"</f>
        <v>0611861272050</v>
      </c>
      <c r="B3276" t="str">
        <f>"CR3875"</f>
        <v>CR3875</v>
      </c>
      <c r="C3276" t="s">
        <v>3185</v>
      </c>
    </row>
    <row r="3277" spans="1:3" x14ac:dyDescent="0.25">
      <c r="A3277" t="str">
        <f>"0611861273050"</f>
        <v>0611861273050</v>
      </c>
      <c r="B3277" t="str">
        <f>"CR5176"</f>
        <v>CR5176</v>
      </c>
      <c r="C3277" t="s">
        <v>3186</v>
      </c>
    </row>
    <row r="3278" spans="1:3" x14ac:dyDescent="0.25">
      <c r="A3278" t="str">
        <f>"0611861274050"</f>
        <v>0611861274050</v>
      </c>
      <c r="B3278" t="str">
        <f>"CR4131"</f>
        <v>CR4131</v>
      </c>
      <c r="C3278" t="s">
        <v>3191</v>
      </c>
    </row>
    <row r="3279" spans="1:3" x14ac:dyDescent="0.25">
      <c r="A3279" t="str">
        <f>"0611861298050"</f>
        <v>0611861298050</v>
      </c>
      <c r="B3279" t="str">
        <f>"CR2125"</f>
        <v>CR2125</v>
      </c>
      <c r="C3279" t="s">
        <v>3192</v>
      </c>
    </row>
    <row r="3280" spans="1:3" x14ac:dyDescent="0.25">
      <c r="A3280" t="str">
        <f>"0611861300050"</f>
        <v>0611861300050</v>
      </c>
      <c r="B3280" t="str">
        <f>"CR3868"</f>
        <v>CR3868</v>
      </c>
      <c r="C3280" t="s">
        <v>3193</v>
      </c>
    </row>
    <row r="3281" spans="1:3" x14ac:dyDescent="0.25">
      <c r="A3281" t="str">
        <f>"0611861318050"</f>
        <v>0611861318050</v>
      </c>
      <c r="B3281" t="str">
        <f>"CR3178"</f>
        <v>CR3178</v>
      </c>
      <c r="C3281" t="s">
        <v>3194</v>
      </c>
    </row>
    <row r="3282" spans="1:3" x14ac:dyDescent="0.25">
      <c r="A3282" t="str">
        <f>"0611861322050"</f>
        <v>0611861322050</v>
      </c>
      <c r="B3282" t="str">
        <f>"CR4130"</f>
        <v>CR4130</v>
      </c>
      <c r="C3282" t="s">
        <v>3195</v>
      </c>
    </row>
    <row r="3283" spans="1:3" x14ac:dyDescent="0.25">
      <c r="A3283" t="str">
        <f>"0611861332050"</f>
        <v>0611861332050</v>
      </c>
      <c r="B3283" t="str">
        <f>"CR2127"</f>
        <v>CR2127</v>
      </c>
      <c r="C3283" t="s">
        <v>3213</v>
      </c>
    </row>
    <row r="3284" spans="1:3" x14ac:dyDescent="0.25">
      <c r="A3284" t="str">
        <f>"0611861333050"</f>
        <v>0611861333050</v>
      </c>
      <c r="B3284" t="str">
        <f>"CR3867"</f>
        <v>CR3867</v>
      </c>
      <c r="C3284" t="s">
        <v>3196</v>
      </c>
    </row>
    <row r="3285" spans="1:3" x14ac:dyDescent="0.25">
      <c r="A3285" t="str">
        <f>"0611861352050"</f>
        <v>0611861352050</v>
      </c>
      <c r="B3285" t="str">
        <f>"CR5174"</f>
        <v>CR5174</v>
      </c>
      <c r="C3285" t="s">
        <v>3228</v>
      </c>
    </row>
    <row r="3286" spans="1:3" x14ac:dyDescent="0.25">
      <c r="A3286" t="str">
        <f>"0611861349050"</f>
        <v>0611861349050</v>
      </c>
      <c r="B3286" t="str">
        <f>"CR3051"</f>
        <v>CR3051</v>
      </c>
      <c r="C3286" t="s">
        <v>3197</v>
      </c>
    </row>
    <row r="3287" spans="1:3" x14ac:dyDescent="0.25">
      <c r="A3287" t="str">
        <f>"0611861351050"</f>
        <v>0611861351050</v>
      </c>
      <c r="B3287" t="str">
        <f>"CR3930"</f>
        <v>CR3930</v>
      </c>
      <c r="C3287" t="s">
        <v>3198</v>
      </c>
    </row>
    <row r="3288" spans="1:3" x14ac:dyDescent="0.25">
      <c r="A3288" t="str">
        <f>"0611861354050"</f>
        <v>0611861354050</v>
      </c>
      <c r="B3288" t="str">
        <f>"CR5062"</f>
        <v>CR5062</v>
      </c>
      <c r="C3288" t="s">
        <v>3200</v>
      </c>
    </row>
    <row r="3289" spans="1:3" x14ac:dyDescent="0.25">
      <c r="A3289" t="str">
        <f>"0611861356050"</f>
        <v>0611861356050</v>
      </c>
      <c r="B3289" t="str">
        <f>"CR3874"</f>
        <v>CR3874</v>
      </c>
      <c r="C3289" t="s">
        <v>3201</v>
      </c>
    </row>
    <row r="3290" spans="1:3" x14ac:dyDescent="0.25">
      <c r="A3290" t="str">
        <f>"0611861357050"</f>
        <v>0611861357050</v>
      </c>
      <c r="B3290" t="str">
        <f>"CR5177"</f>
        <v>CR5177</v>
      </c>
      <c r="C3290" t="s">
        <v>3202</v>
      </c>
    </row>
    <row r="3291" spans="1:3" x14ac:dyDescent="0.25">
      <c r="A3291" t="str">
        <f>"0611861359050"</f>
        <v>0611861359050</v>
      </c>
      <c r="B3291" t="str">
        <f>"CR3052"</f>
        <v>CR3052</v>
      </c>
      <c r="C3291" t="s">
        <v>3203</v>
      </c>
    </row>
    <row r="3292" spans="1:3" x14ac:dyDescent="0.25">
      <c r="A3292" t="str">
        <f>"0611861362050"</f>
        <v>0611861362050</v>
      </c>
      <c r="B3292" t="str">
        <f>"CR4135"</f>
        <v>CR4135</v>
      </c>
      <c r="C3292" t="s">
        <v>3204</v>
      </c>
    </row>
    <row r="3293" spans="1:3" x14ac:dyDescent="0.25">
      <c r="A3293" t="str">
        <f>"0611861363050"</f>
        <v>0611861363050</v>
      </c>
      <c r="B3293" t="str">
        <f>"CR3412"</f>
        <v>CR3412</v>
      </c>
      <c r="C3293" t="s">
        <v>3205</v>
      </c>
    </row>
    <row r="3294" spans="1:3" x14ac:dyDescent="0.25">
      <c r="A3294" t="str">
        <f>"0611861367050"</f>
        <v>0611861367050</v>
      </c>
      <c r="B3294" t="str">
        <f>"CR3053"</f>
        <v>CR3053</v>
      </c>
      <c r="C3294" t="s">
        <v>3207</v>
      </c>
    </row>
    <row r="3295" spans="1:3" x14ac:dyDescent="0.25">
      <c r="A3295" t="str">
        <f>"0611861368050"</f>
        <v>0611861368050</v>
      </c>
      <c r="B3295" t="str">
        <f>"CR3043"</f>
        <v>CR3043</v>
      </c>
      <c r="C3295" t="s">
        <v>3210</v>
      </c>
    </row>
    <row r="3296" spans="1:3" x14ac:dyDescent="0.25">
      <c r="A3296" t="str">
        <f>"0611861379050"</f>
        <v>0611861379050</v>
      </c>
      <c r="B3296" t="str">
        <f>"CR2139"</f>
        <v>CR2139</v>
      </c>
      <c r="C3296" t="s">
        <v>3208</v>
      </c>
    </row>
    <row r="3297" spans="1:3" x14ac:dyDescent="0.25">
      <c r="A3297" t="str">
        <f>"0611861380050"</f>
        <v>0611861380050</v>
      </c>
      <c r="B3297" t="str">
        <f>"CR3876"</f>
        <v>CR3876</v>
      </c>
      <c r="C3297" t="s">
        <v>3209</v>
      </c>
    </row>
    <row r="3298" spans="1:3" x14ac:dyDescent="0.25">
      <c r="A3298" t="str">
        <f>"0611861383050"</f>
        <v>0611861383050</v>
      </c>
      <c r="B3298" t="str">
        <f>"CR2141"</f>
        <v>CR2141</v>
      </c>
      <c r="C3298" t="s">
        <v>3211</v>
      </c>
    </row>
    <row r="3299" spans="1:3" x14ac:dyDescent="0.25">
      <c r="A3299" t="str">
        <f>"0611861384050"</f>
        <v>0611861384050</v>
      </c>
      <c r="B3299" t="str">
        <f>"CR3593"</f>
        <v>CR3593</v>
      </c>
      <c r="C3299" t="s">
        <v>3212</v>
      </c>
    </row>
    <row r="3300" spans="1:3" x14ac:dyDescent="0.25">
      <c r="A3300" t="str">
        <f>"0611861387050"</f>
        <v>0611861387050</v>
      </c>
      <c r="B3300" t="str">
        <f>"CR5023"</f>
        <v>CR5023</v>
      </c>
      <c r="C3300" t="s">
        <v>3214</v>
      </c>
    </row>
    <row r="3301" spans="1:3" x14ac:dyDescent="0.25">
      <c r="A3301" t="str">
        <f>"0611861389050"</f>
        <v>0611861389050</v>
      </c>
      <c r="B3301" t="str">
        <f>"CR2143"</f>
        <v>CR2143</v>
      </c>
      <c r="C3301" t="s">
        <v>3215</v>
      </c>
    </row>
    <row r="3302" spans="1:3" x14ac:dyDescent="0.25">
      <c r="A3302" t="str">
        <f>"0611861391050"</f>
        <v>0611861391050</v>
      </c>
      <c r="B3302" t="str">
        <f>"CR4133"</f>
        <v>CR4133</v>
      </c>
      <c r="C3302" t="s">
        <v>3216</v>
      </c>
    </row>
    <row r="3303" spans="1:3" x14ac:dyDescent="0.25">
      <c r="A3303" t="str">
        <f>"0611861392050"</f>
        <v>0611861392050</v>
      </c>
      <c r="B3303" t="str">
        <f>"CR2144"</f>
        <v>CR2144</v>
      </c>
      <c r="C3303" t="s">
        <v>3217</v>
      </c>
    </row>
    <row r="3304" spans="1:3" x14ac:dyDescent="0.25">
      <c r="A3304" t="str">
        <f>"0611861398050"</f>
        <v>0611861398050</v>
      </c>
      <c r="B3304" t="str">
        <f>"CR2148"</f>
        <v>CR2148</v>
      </c>
      <c r="C3304" t="s">
        <v>13821</v>
      </c>
    </row>
    <row r="3305" spans="1:3" x14ac:dyDescent="0.25">
      <c r="A3305" t="str">
        <f>"0611861399050"</f>
        <v>0611861399050</v>
      </c>
      <c r="B3305" t="str">
        <f>"CR3055"</f>
        <v>CR3055</v>
      </c>
      <c r="C3305" t="s">
        <v>3218</v>
      </c>
    </row>
    <row r="3306" spans="1:3" x14ac:dyDescent="0.25">
      <c r="A3306" t="str">
        <f>"0611861377050"</f>
        <v>0611861377050</v>
      </c>
      <c r="B3306" t="str">
        <f>"CR4213"</f>
        <v>CR4213</v>
      </c>
      <c r="C3306" t="s">
        <v>3219</v>
      </c>
    </row>
    <row r="3307" spans="1:3" x14ac:dyDescent="0.25">
      <c r="A3307" t="str">
        <f>"0611861412050"</f>
        <v>0611861412050</v>
      </c>
      <c r="B3307" t="str">
        <f>"CR4800"</f>
        <v>CR4800</v>
      </c>
      <c r="C3307" t="s">
        <v>3221</v>
      </c>
    </row>
    <row r="3308" spans="1:3" x14ac:dyDescent="0.25">
      <c r="A3308" t="str">
        <f>"0611861415050"</f>
        <v>0611861415050</v>
      </c>
      <c r="B3308" t="str">
        <f>"CR4134"</f>
        <v>CR4134</v>
      </c>
      <c r="C3308" t="s">
        <v>3220</v>
      </c>
    </row>
    <row r="3309" spans="1:3" x14ac:dyDescent="0.25">
      <c r="A3309" t="str">
        <f>"0611861416050"</f>
        <v>0611861416050</v>
      </c>
      <c r="B3309" t="str">
        <f>"CR3322"</f>
        <v>CR3322</v>
      </c>
      <c r="C3309" t="s">
        <v>3222</v>
      </c>
    </row>
    <row r="3310" spans="1:3" x14ac:dyDescent="0.25">
      <c r="A3310" t="str">
        <f>"0611861422050"</f>
        <v>0611861422050</v>
      </c>
      <c r="B3310" t="str">
        <f>"CR4803"</f>
        <v>CR4803</v>
      </c>
      <c r="C3310" t="s">
        <v>3223</v>
      </c>
    </row>
    <row r="3311" spans="1:3" x14ac:dyDescent="0.25">
      <c r="A3311" t="str">
        <f>"0611861423050"</f>
        <v>0611861423050</v>
      </c>
      <c r="B3311" t="str">
        <f>"CR3928"</f>
        <v>CR3928</v>
      </c>
      <c r="C3311" t="s">
        <v>3224</v>
      </c>
    </row>
    <row r="3312" spans="1:3" x14ac:dyDescent="0.25">
      <c r="A3312" t="str">
        <f>"0611861427050"</f>
        <v>0611861427050</v>
      </c>
      <c r="B3312" t="str">
        <f>"CR3771"</f>
        <v>CR3771</v>
      </c>
      <c r="C3312" t="s">
        <v>3226</v>
      </c>
    </row>
    <row r="3313" spans="1:3" x14ac:dyDescent="0.25">
      <c r="A3313" t="str">
        <f>"0611884140050"</f>
        <v>0611884140050</v>
      </c>
      <c r="B3313" t="str">
        <f>"CR5311"</f>
        <v>CR5311</v>
      </c>
      <c r="C3313" t="s">
        <v>3229</v>
      </c>
    </row>
    <row r="3314" spans="1:3" x14ac:dyDescent="0.25">
      <c r="A3314" t="str">
        <f>"0611861432050"</f>
        <v>0611861432050</v>
      </c>
      <c r="B3314" t="str">
        <f>"CR2151"</f>
        <v>CR2151</v>
      </c>
      <c r="C3314" t="s">
        <v>3231</v>
      </c>
    </row>
    <row r="3315" spans="1:3" x14ac:dyDescent="0.25">
      <c r="A3315" t="str">
        <f>"0611893572050"</f>
        <v>0611893572050</v>
      </c>
      <c r="B3315" t="str">
        <f>"CR5441"</f>
        <v>CR5441</v>
      </c>
      <c r="C3315" t="s">
        <v>3232</v>
      </c>
    </row>
    <row r="3316" spans="1:3" x14ac:dyDescent="0.25">
      <c r="A3316" t="str">
        <f>"0611893573050"</f>
        <v>0611893573050</v>
      </c>
      <c r="B3316" t="str">
        <f>"CR5442"</f>
        <v>CR5442</v>
      </c>
      <c r="C3316" t="s">
        <v>3233</v>
      </c>
    </row>
    <row r="3317" spans="1:3" x14ac:dyDescent="0.25">
      <c r="A3317" t="str">
        <f>"0611893574050"</f>
        <v>0611893574050</v>
      </c>
      <c r="B3317" t="str">
        <f>"CR5443"</f>
        <v>CR5443</v>
      </c>
      <c r="C3317" t="s">
        <v>3234</v>
      </c>
    </row>
    <row r="3318" spans="1:3" x14ac:dyDescent="0.25">
      <c r="A3318" t="str">
        <f>"0611861335050"</f>
        <v>0611861335050</v>
      </c>
      <c r="B3318" t="str">
        <f>"CR2129"</f>
        <v>CR2129</v>
      </c>
      <c r="C3318" t="s">
        <v>3235</v>
      </c>
    </row>
    <row r="3319" spans="1:3" x14ac:dyDescent="0.25">
      <c r="A3319" t="str">
        <f>"0611861336050"</f>
        <v>0611861336050</v>
      </c>
      <c r="B3319" t="str">
        <f>"CR4953"</f>
        <v>CR4953</v>
      </c>
      <c r="C3319" t="s">
        <v>3236</v>
      </c>
    </row>
    <row r="3320" spans="1:3" x14ac:dyDescent="0.25">
      <c r="A3320" t="str">
        <f>"0611861337050"</f>
        <v>0611861337050</v>
      </c>
      <c r="B3320" t="str">
        <f>"CR2130"</f>
        <v>CR2130</v>
      </c>
      <c r="C3320" t="s">
        <v>3237</v>
      </c>
    </row>
    <row r="3321" spans="1:3" x14ac:dyDescent="0.25">
      <c r="A3321" t="str">
        <f>"0611861339050"</f>
        <v>0611861339050</v>
      </c>
      <c r="B3321" t="str">
        <f>"CR2131"</f>
        <v>CR2131</v>
      </c>
      <c r="C3321" t="s">
        <v>3238</v>
      </c>
    </row>
    <row r="3322" spans="1:3" x14ac:dyDescent="0.25">
      <c r="A3322" t="str">
        <f>"0611906550050"</f>
        <v>0611906550050</v>
      </c>
      <c r="B3322" t="str">
        <f>"CR5482"</f>
        <v>CR5482</v>
      </c>
      <c r="C3322" t="s">
        <v>3164</v>
      </c>
    </row>
    <row r="3323" spans="1:3" x14ac:dyDescent="0.25">
      <c r="A3323" t="str">
        <f>"0611906551050"</f>
        <v>0611906551050</v>
      </c>
      <c r="B3323" t="str">
        <f>"CR5466"</f>
        <v>CR5466</v>
      </c>
      <c r="C3323" t="s">
        <v>3174</v>
      </c>
    </row>
    <row r="3324" spans="1:3" x14ac:dyDescent="0.25">
      <c r="A3324" t="str">
        <f>"0611906552050"</f>
        <v>0611906552050</v>
      </c>
      <c r="B3324" t="str">
        <f>"CR5475"</f>
        <v>CR5475</v>
      </c>
      <c r="C3324" t="s">
        <v>3177</v>
      </c>
    </row>
    <row r="3325" spans="1:3" x14ac:dyDescent="0.25">
      <c r="A3325" t="str">
        <f>"0611906553050"</f>
        <v>0611906553050</v>
      </c>
      <c r="B3325" t="str">
        <f>"CR5467"</f>
        <v>CR5467</v>
      </c>
      <c r="C3325" t="s">
        <v>3189</v>
      </c>
    </row>
    <row r="3326" spans="1:3" x14ac:dyDescent="0.25">
      <c r="A3326" t="str">
        <f>"0611906554050"</f>
        <v>0611906554050</v>
      </c>
      <c r="B3326" t="str">
        <f>"CR5477"</f>
        <v>CR5477</v>
      </c>
      <c r="C3326" t="s">
        <v>3199</v>
      </c>
    </row>
    <row r="3327" spans="1:3" x14ac:dyDescent="0.25">
      <c r="A3327" t="str">
        <f>"0611906555050"</f>
        <v>0611906555050</v>
      </c>
      <c r="B3327" t="str">
        <f>"CR5480"</f>
        <v>CR5480</v>
      </c>
      <c r="C3327" t="s">
        <v>3206</v>
      </c>
    </row>
    <row r="3328" spans="1:3" x14ac:dyDescent="0.25">
      <c r="A3328" t="str">
        <f>"0611906556050"</f>
        <v>0611906556050</v>
      </c>
      <c r="B3328" t="str">
        <f>"CR5484"</f>
        <v>CR5484</v>
      </c>
      <c r="C3328" t="s">
        <v>3225</v>
      </c>
    </row>
    <row r="3329" spans="1:3" x14ac:dyDescent="0.25">
      <c r="A3329" t="str">
        <f>"0611906557050"</f>
        <v>0611906557050</v>
      </c>
      <c r="B3329" t="str">
        <f>"CR5485"</f>
        <v>CR5485</v>
      </c>
      <c r="C3329" t="s">
        <v>3227</v>
      </c>
    </row>
    <row r="3330" spans="1:3" x14ac:dyDescent="0.25">
      <c r="A3330" t="str">
        <f>"0611833297100"</f>
        <v>0611833297100</v>
      </c>
      <c r="B3330" t="str">
        <f>"LH2841"</f>
        <v>LH2841</v>
      </c>
      <c r="C3330" t="s">
        <v>3239</v>
      </c>
    </row>
    <row r="3331" spans="1:3" x14ac:dyDescent="0.25">
      <c r="A3331" t="str">
        <f>"0611833298025"</f>
        <v>0611833298025</v>
      </c>
      <c r="B3331" t="str">
        <f>"MC0197"</f>
        <v>MC0197</v>
      </c>
      <c r="C3331" t="s">
        <v>3240</v>
      </c>
    </row>
    <row r="3332" spans="1:3" x14ac:dyDescent="0.25">
      <c r="A3332" t="str">
        <f>"0611833299100"</f>
        <v>0611833299100</v>
      </c>
      <c r="B3332" t="str">
        <f>"LB2326"</f>
        <v>LB2326</v>
      </c>
      <c r="C3332" t="s">
        <v>3241</v>
      </c>
    </row>
    <row r="3333" spans="1:3" x14ac:dyDescent="0.25">
      <c r="A3333" t="str">
        <f>"0611833301100"</f>
        <v>0611833301100</v>
      </c>
      <c r="B3333" t="str">
        <f>"LK6350"</f>
        <v>LK6350</v>
      </c>
      <c r="C3333" t="s">
        <v>3242</v>
      </c>
    </row>
    <row r="3334" spans="1:3" x14ac:dyDescent="0.25">
      <c r="A3334" t="str">
        <f>"0611833306025"</f>
        <v>0611833306025</v>
      </c>
      <c r="B3334" t="str">
        <f>"MQ0190"</f>
        <v>MQ0190</v>
      </c>
      <c r="C3334" t="s">
        <v>3243</v>
      </c>
    </row>
    <row r="3335" spans="1:3" x14ac:dyDescent="0.25">
      <c r="A3335" t="str">
        <f>"0611833302100"</f>
        <v>0611833302100</v>
      </c>
      <c r="B3335" t="str">
        <f>"LF1463"</f>
        <v>LF1463</v>
      </c>
      <c r="C3335" t="s">
        <v>3244</v>
      </c>
    </row>
    <row r="3336" spans="1:3" x14ac:dyDescent="0.25">
      <c r="A3336" t="str">
        <f>"0611833308100"</f>
        <v>0611833308100</v>
      </c>
      <c r="B3336" t="str">
        <f>"LK3666"</f>
        <v>LK3666</v>
      </c>
      <c r="C3336" t="s">
        <v>3245</v>
      </c>
    </row>
    <row r="3337" spans="1:3" x14ac:dyDescent="0.25">
      <c r="A3337" t="str">
        <f>"0611833309100"</f>
        <v>0611833309100</v>
      </c>
      <c r="B3337" t="str">
        <f>"LK4171"</f>
        <v>LK4171</v>
      </c>
      <c r="C3337" t="s">
        <v>3246</v>
      </c>
    </row>
    <row r="3338" spans="1:3" x14ac:dyDescent="0.25">
      <c r="A3338" t="str">
        <f>"0611833310100"</f>
        <v>0611833310100</v>
      </c>
      <c r="B3338" t="str">
        <f>"LK4172"</f>
        <v>LK4172</v>
      </c>
      <c r="C3338" t="s">
        <v>3247</v>
      </c>
    </row>
    <row r="3339" spans="1:3" x14ac:dyDescent="0.25">
      <c r="A3339" t="str">
        <f>"0611833314025"</f>
        <v>0611833314025</v>
      </c>
      <c r="B3339" t="str">
        <f>"MC1525"</f>
        <v>MC1525</v>
      </c>
      <c r="C3339" t="s">
        <v>3248</v>
      </c>
    </row>
    <row r="3340" spans="1:3" x14ac:dyDescent="0.25">
      <c r="A3340" t="str">
        <f>"0611833315025"</f>
        <v>0611833315025</v>
      </c>
      <c r="B3340" t="str">
        <f>"MC4094"</f>
        <v>MC4094</v>
      </c>
      <c r="C3340" t="s">
        <v>3249</v>
      </c>
    </row>
    <row r="3341" spans="1:3" x14ac:dyDescent="0.25">
      <c r="A3341" t="str">
        <f>"0611833316100"</f>
        <v>0611833316100</v>
      </c>
      <c r="B3341" t="str">
        <f>"LH2860"</f>
        <v>LH2860</v>
      </c>
      <c r="C3341" t="s">
        <v>13822</v>
      </c>
    </row>
    <row r="3342" spans="1:3" x14ac:dyDescent="0.25">
      <c r="A3342" t="str">
        <f>"0611833317025"</f>
        <v>0611833317025</v>
      </c>
      <c r="B3342" t="str">
        <f>"MC0198"</f>
        <v>MC0198</v>
      </c>
      <c r="C3342" t="s">
        <v>3250</v>
      </c>
    </row>
    <row r="3343" spans="1:3" x14ac:dyDescent="0.25">
      <c r="A3343" t="str">
        <f>"0611833318025"</f>
        <v>0611833318025</v>
      </c>
      <c r="B3343" t="str">
        <f>"MQ3215"</f>
        <v>MQ3215</v>
      </c>
      <c r="C3343" t="s">
        <v>3251</v>
      </c>
    </row>
    <row r="3344" spans="1:3" x14ac:dyDescent="0.25">
      <c r="A3344" t="str">
        <f>"0611861436100"</f>
        <v>0611861436100</v>
      </c>
      <c r="B3344" t="str">
        <f>"CN5047"</f>
        <v>CN5047</v>
      </c>
      <c r="C3344" t="s">
        <v>3252</v>
      </c>
    </row>
    <row r="3345" spans="1:3" x14ac:dyDescent="0.25">
      <c r="A3345" t="str">
        <f>"0611833320025"</f>
        <v>0611833320025</v>
      </c>
      <c r="B3345" t="str">
        <f>"MQ7046"</f>
        <v>MQ7046</v>
      </c>
      <c r="C3345" t="s">
        <v>3253</v>
      </c>
    </row>
    <row r="3346" spans="1:3" x14ac:dyDescent="0.25">
      <c r="A3346" t="str">
        <f>"0611861437100"</f>
        <v>0611861437100</v>
      </c>
      <c r="B3346" t="str">
        <f>"CN5048"</f>
        <v>CN5048</v>
      </c>
      <c r="C3346" t="s">
        <v>3254</v>
      </c>
    </row>
    <row r="3347" spans="1:3" x14ac:dyDescent="0.25">
      <c r="A3347" t="str">
        <f>"0611833321025"</f>
        <v>0611833321025</v>
      </c>
      <c r="B3347" t="str">
        <f>"MQ7047"</f>
        <v>MQ7047</v>
      </c>
      <c r="C3347" t="s">
        <v>3255</v>
      </c>
    </row>
    <row r="3348" spans="1:3" x14ac:dyDescent="0.25">
      <c r="A3348" t="str">
        <f>"0611861438100"</f>
        <v>0611861438100</v>
      </c>
      <c r="B3348" t="str">
        <f>"CN5049"</f>
        <v>CN5049</v>
      </c>
      <c r="C3348" t="s">
        <v>3256</v>
      </c>
    </row>
    <row r="3349" spans="1:3" x14ac:dyDescent="0.25">
      <c r="A3349" t="str">
        <f>"0611833322025"</f>
        <v>0611833322025</v>
      </c>
      <c r="B3349" t="str">
        <f>"MQ7048"</f>
        <v>MQ7048</v>
      </c>
      <c r="C3349" t="s">
        <v>3257</v>
      </c>
    </row>
    <row r="3350" spans="1:3" x14ac:dyDescent="0.25">
      <c r="A3350" t="str">
        <f>"0611861439100"</f>
        <v>0611861439100</v>
      </c>
      <c r="B3350" t="str">
        <f>"CN5050"</f>
        <v>CN5050</v>
      </c>
      <c r="C3350" t="s">
        <v>3258</v>
      </c>
    </row>
    <row r="3351" spans="1:3" x14ac:dyDescent="0.25">
      <c r="A3351" t="str">
        <f>"0611861440100"</f>
        <v>0611861440100</v>
      </c>
      <c r="B3351" t="str">
        <f>"CN5051"</f>
        <v>CN5051</v>
      </c>
      <c r="C3351" t="s">
        <v>3259</v>
      </c>
    </row>
    <row r="3352" spans="1:3" x14ac:dyDescent="0.25">
      <c r="A3352" t="str">
        <f>"0611861441050"</f>
        <v>0611861441050</v>
      </c>
      <c r="B3352" t="str">
        <f>"CR4226"</f>
        <v>CR4226</v>
      </c>
      <c r="C3352" t="s">
        <v>3260</v>
      </c>
    </row>
    <row r="3353" spans="1:3" x14ac:dyDescent="0.25">
      <c r="A3353" t="str">
        <f>"0611861444100"</f>
        <v>0611861444100</v>
      </c>
      <c r="B3353" t="str">
        <f>"CN5038"</f>
        <v>CN5038</v>
      </c>
      <c r="C3353" t="s">
        <v>3261</v>
      </c>
    </row>
    <row r="3354" spans="1:3" x14ac:dyDescent="0.25">
      <c r="A3354" t="str">
        <f>"0611861445100"</f>
        <v>0611861445100</v>
      </c>
      <c r="B3354" t="str">
        <f>"CN5039"</f>
        <v>CN5039</v>
      </c>
      <c r="C3354" t="s">
        <v>3262</v>
      </c>
    </row>
    <row r="3355" spans="1:3" x14ac:dyDescent="0.25">
      <c r="A3355" t="str">
        <f>"0611833325025"</f>
        <v>0611833325025</v>
      </c>
      <c r="B3355" t="str">
        <f>"MC4384"</f>
        <v>MC4384</v>
      </c>
      <c r="C3355" t="s">
        <v>3263</v>
      </c>
    </row>
    <row r="3356" spans="1:3" x14ac:dyDescent="0.25">
      <c r="A3356" t="str">
        <f>"0611861446050"</f>
        <v>0611861446050</v>
      </c>
      <c r="B3356" t="str">
        <f>"CE1696"</f>
        <v>CE1696</v>
      </c>
      <c r="C3356" t="s">
        <v>3264</v>
      </c>
    </row>
    <row r="3357" spans="1:3" x14ac:dyDescent="0.25">
      <c r="A3357" t="str">
        <f>"0611833326025"</f>
        <v>0611833326025</v>
      </c>
      <c r="B3357" t="str">
        <f>"MC4346"</f>
        <v>MC4346</v>
      </c>
      <c r="C3357" t="s">
        <v>3265</v>
      </c>
    </row>
    <row r="3358" spans="1:3" x14ac:dyDescent="0.25">
      <c r="A3358" t="str">
        <f>"0611861447050"</f>
        <v>0611861447050</v>
      </c>
      <c r="B3358" t="str">
        <f>"CE1697"</f>
        <v>CE1697</v>
      </c>
      <c r="C3358" t="s">
        <v>3266</v>
      </c>
    </row>
    <row r="3359" spans="1:3" x14ac:dyDescent="0.25">
      <c r="A3359" t="str">
        <f>"0611833327025"</f>
        <v>0611833327025</v>
      </c>
      <c r="B3359" t="str">
        <f>"MQ0169"</f>
        <v>MQ0169</v>
      </c>
      <c r="C3359" t="s">
        <v>3267</v>
      </c>
    </row>
    <row r="3360" spans="1:3" x14ac:dyDescent="0.25">
      <c r="A3360" t="str">
        <f>"0611833328025"</f>
        <v>0611833328025</v>
      </c>
      <c r="B3360" t="str">
        <f>"MQ0615"</f>
        <v>MQ0615</v>
      </c>
      <c r="C3360" t="s">
        <v>3268</v>
      </c>
    </row>
    <row r="3361" spans="1:3" x14ac:dyDescent="0.25">
      <c r="A3361" t="str">
        <f>"0611906709025"</f>
        <v>0611906709025</v>
      </c>
      <c r="B3361" t="str">
        <f>"MQ7050"</f>
        <v>MQ7050</v>
      </c>
      <c r="C3361" t="s">
        <v>3269</v>
      </c>
    </row>
    <row r="3362" spans="1:3" x14ac:dyDescent="0.25">
      <c r="A3362" t="str">
        <f>"0611833329025"</f>
        <v>0611833329025</v>
      </c>
      <c r="B3362" t="str">
        <f>"MQ0164"</f>
        <v>MQ0164</v>
      </c>
      <c r="C3362" t="s">
        <v>3270</v>
      </c>
    </row>
    <row r="3363" spans="1:3" x14ac:dyDescent="0.25">
      <c r="A3363" t="str">
        <f>"0611833335025"</f>
        <v>0611833335025</v>
      </c>
      <c r="B3363" t="str">
        <f>"MQ6011"</f>
        <v>MQ6011</v>
      </c>
      <c r="C3363" t="s">
        <v>3271</v>
      </c>
    </row>
    <row r="3364" spans="1:3" x14ac:dyDescent="0.25">
      <c r="A3364" t="str">
        <f>"0611833336025"</f>
        <v>0611833336025</v>
      </c>
      <c r="B3364" t="str">
        <f>"MC4284"</f>
        <v>MC4284</v>
      </c>
      <c r="C3364" t="s">
        <v>3272</v>
      </c>
    </row>
    <row r="3365" spans="1:3" x14ac:dyDescent="0.25">
      <c r="A3365" t="str">
        <f>"0611833337100"</f>
        <v>0611833337100</v>
      </c>
      <c r="B3365" t="str">
        <f>"LH2863"</f>
        <v>LH2863</v>
      </c>
      <c r="C3365" t="s">
        <v>3273</v>
      </c>
    </row>
    <row r="3366" spans="1:3" x14ac:dyDescent="0.25">
      <c r="A3366" t="str">
        <f>"0611833338025"</f>
        <v>0611833338025</v>
      </c>
      <c r="B3366" t="str">
        <f>"MC0199"</f>
        <v>MC0199</v>
      </c>
      <c r="C3366" t="s">
        <v>3274</v>
      </c>
    </row>
    <row r="3367" spans="1:3" x14ac:dyDescent="0.25">
      <c r="A3367" t="str">
        <f>"0611861448100"</f>
        <v>0611861448100</v>
      </c>
      <c r="B3367" t="str">
        <f>"CN2303"</f>
        <v>CN2303</v>
      </c>
      <c r="C3367" t="s">
        <v>3275</v>
      </c>
    </row>
    <row r="3368" spans="1:3" x14ac:dyDescent="0.25">
      <c r="A3368" t="str">
        <f>"0611861449100"</f>
        <v>0611861449100</v>
      </c>
      <c r="B3368" t="str">
        <f>"CN2304"</f>
        <v>CN2304</v>
      </c>
      <c r="C3368" t="s">
        <v>3276</v>
      </c>
    </row>
    <row r="3369" spans="1:3" x14ac:dyDescent="0.25">
      <c r="A3369" t="str">
        <f>"0611861450100"</f>
        <v>0611861450100</v>
      </c>
      <c r="B3369" t="str">
        <f>"CN2305"</f>
        <v>CN2305</v>
      </c>
      <c r="C3369" t="s">
        <v>3277</v>
      </c>
    </row>
    <row r="3370" spans="1:3" x14ac:dyDescent="0.25">
      <c r="A3370" t="str">
        <f>"0611861451100"</f>
        <v>0611861451100</v>
      </c>
      <c r="B3370" t="str">
        <f>"CN2306"</f>
        <v>CN2306</v>
      </c>
      <c r="C3370" t="s">
        <v>3278</v>
      </c>
    </row>
    <row r="3371" spans="1:3" x14ac:dyDescent="0.25">
      <c r="A3371" t="str">
        <f>"0611861452100"</f>
        <v>0611861452100</v>
      </c>
      <c r="B3371" t="str">
        <f>"CN2307"</f>
        <v>CN2307</v>
      </c>
      <c r="C3371" t="s">
        <v>3279</v>
      </c>
    </row>
    <row r="3372" spans="1:3" x14ac:dyDescent="0.25">
      <c r="A3372" t="str">
        <f>"0611833340025"</f>
        <v>0611833340025</v>
      </c>
      <c r="B3372" t="str">
        <f>"MQ0168"</f>
        <v>MQ0168</v>
      </c>
      <c r="C3372" t="s">
        <v>3280</v>
      </c>
    </row>
    <row r="3373" spans="1:3" x14ac:dyDescent="0.25">
      <c r="A3373" t="str">
        <f>"0611833342025"</f>
        <v>0611833342025</v>
      </c>
      <c r="B3373" t="str">
        <f>"MQ0416"</f>
        <v>MQ0416</v>
      </c>
      <c r="C3373" t="s">
        <v>3281</v>
      </c>
    </row>
    <row r="3374" spans="1:3" x14ac:dyDescent="0.25">
      <c r="A3374" t="str">
        <f>"0611833344025"</f>
        <v>0611833344025</v>
      </c>
      <c r="B3374" t="str">
        <f>"MQ6009"</f>
        <v>MQ6009</v>
      </c>
      <c r="C3374" t="s">
        <v>3282</v>
      </c>
    </row>
    <row r="3375" spans="1:3" x14ac:dyDescent="0.25">
      <c r="A3375" t="str">
        <f>"0611833345025"</f>
        <v>0611833345025</v>
      </c>
      <c r="B3375" t="str">
        <f>"MC4342"</f>
        <v>MC4342</v>
      </c>
      <c r="C3375" t="s">
        <v>3283</v>
      </c>
    </row>
    <row r="3376" spans="1:3" x14ac:dyDescent="0.25">
      <c r="A3376" t="str">
        <f>"0611833347025"</f>
        <v>0611833347025</v>
      </c>
      <c r="B3376" t="str">
        <f>"MQ3009"</f>
        <v>MQ3009</v>
      </c>
      <c r="C3376" t="s">
        <v>3284</v>
      </c>
    </row>
    <row r="3377" spans="1:3" x14ac:dyDescent="0.25">
      <c r="A3377" t="str">
        <f>"0611833348025"</f>
        <v>0611833348025</v>
      </c>
      <c r="B3377" t="str">
        <f>"MQ6012"</f>
        <v>MQ6012</v>
      </c>
      <c r="C3377" t="s">
        <v>3285</v>
      </c>
    </row>
    <row r="3378" spans="1:3" x14ac:dyDescent="0.25">
      <c r="A3378" t="str">
        <f>"0611861456100"</f>
        <v>0611861456100</v>
      </c>
      <c r="B3378" t="str">
        <f>"CN5028"</f>
        <v>CN5028</v>
      </c>
      <c r="C3378" t="s">
        <v>3286</v>
      </c>
    </row>
    <row r="3379" spans="1:3" x14ac:dyDescent="0.25">
      <c r="A3379" t="str">
        <f>"0611861457050"</f>
        <v>0611861457050</v>
      </c>
      <c r="B3379" t="str">
        <f>"CR3790"</f>
        <v>CR3790</v>
      </c>
      <c r="C3379" t="s">
        <v>3287</v>
      </c>
    </row>
    <row r="3380" spans="1:3" x14ac:dyDescent="0.25">
      <c r="A3380" t="str">
        <f>"0611861458100"</f>
        <v>0611861458100</v>
      </c>
      <c r="B3380" t="str">
        <f>"CN5029"</f>
        <v>CN5029</v>
      </c>
      <c r="C3380" t="s">
        <v>3288</v>
      </c>
    </row>
    <row r="3381" spans="1:3" x14ac:dyDescent="0.25">
      <c r="A3381" t="str">
        <f>"0611861459050"</f>
        <v>0611861459050</v>
      </c>
      <c r="B3381" t="str">
        <f>"CR4214"</f>
        <v>CR4214</v>
      </c>
      <c r="C3381" t="s">
        <v>3289</v>
      </c>
    </row>
    <row r="3382" spans="1:3" x14ac:dyDescent="0.25">
      <c r="A3382" t="str">
        <f>"0611861460100"</f>
        <v>0611861460100</v>
      </c>
      <c r="B3382" t="str">
        <f>"CN5030"</f>
        <v>CN5030</v>
      </c>
      <c r="C3382" t="s">
        <v>3290</v>
      </c>
    </row>
    <row r="3383" spans="1:3" x14ac:dyDescent="0.25">
      <c r="A3383" t="str">
        <f>"0611861461100"</f>
        <v>0611861461100</v>
      </c>
      <c r="B3383" t="str">
        <f>"CN5031"</f>
        <v>CN5031</v>
      </c>
      <c r="C3383" t="s">
        <v>3291</v>
      </c>
    </row>
    <row r="3384" spans="1:3" x14ac:dyDescent="0.25">
      <c r="A3384" t="str">
        <f>"0611861462050"</f>
        <v>0611861462050</v>
      </c>
      <c r="B3384" t="str">
        <f>"CR3792"</f>
        <v>CR3792</v>
      </c>
      <c r="C3384" t="s">
        <v>3292</v>
      </c>
    </row>
    <row r="3385" spans="1:3" x14ac:dyDescent="0.25">
      <c r="A3385" t="str">
        <f>"0611833349025"</f>
        <v>0611833349025</v>
      </c>
      <c r="B3385" t="str">
        <f>"MQ6013"</f>
        <v>MQ6013</v>
      </c>
      <c r="C3385" t="s">
        <v>3293</v>
      </c>
    </row>
    <row r="3386" spans="1:3" x14ac:dyDescent="0.25">
      <c r="A3386" t="str">
        <f>"0611906710025"</f>
        <v>0611906710025</v>
      </c>
      <c r="B3386" t="str">
        <f>"MQ0851"</f>
        <v>MQ0851</v>
      </c>
      <c r="C3386" t="s">
        <v>3295</v>
      </c>
    </row>
    <row r="3387" spans="1:3" x14ac:dyDescent="0.25">
      <c r="A3387" t="str">
        <f>"0611861463100"</f>
        <v>0611861463100</v>
      </c>
      <c r="B3387" t="str">
        <f>"CN5053"</f>
        <v>CN5053</v>
      </c>
      <c r="C3387" t="s">
        <v>3294</v>
      </c>
    </row>
    <row r="3388" spans="1:3" x14ac:dyDescent="0.25">
      <c r="A3388" t="str">
        <f>"0611861466100"</f>
        <v>0611861466100</v>
      </c>
      <c r="B3388" t="str">
        <f>"CN2347"</f>
        <v>CN2347</v>
      </c>
      <c r="C3388" t="s">
        <v>3296</v>
      </c>
    </row>
    <row r="3389" spans="1:3" x14ac:dyDescent="0.25">
      <c r="A3389" t="str">
        <f>"0611833350025"</f>
        <v>0611833350025</v>
      </c>
      <c r="B3389" t="str">
        <f>"MQ0469"</f>
        <v>MQ0469</v>
      </c>
      <c r="C3389" t="s">
        <v>3297</v>
      </c>
    </row>
    <row r="3390" spans="1:3" x14ac:dyDescent="0.25">
      <c r="A3390" t="str">
        <f>"0611861464100"</f>
        <v>0611861464100</v>
      </c>
      <c r="B3390" t="str">
        <f>"CN5054"</f>
        <v>CN5054</v>
      </c>
      <c r="C3390" t="s">
        <v>3298</v>
      </c>
    </row>
    <row r="3391" spans="1:3" x14ac:dyDescent="0.25">
      <c r="A3391" t="str">
        <f>"0611833351025"</f>
        <v>0611833351025</v>
      </c>
      <c r="B3391" t="str">
        <f>"MQ7051"</f>
        <v>MQ7051</v>
      </c>
      <c r="C3391" t="s">
        <v>3299</v>
      </c>
    </row>
    <row r="3392" spans="1:3" x14ac:dyDescent="0.25">
      <c r="A3392" t="str">
        <f>"0611833352025"</f>
        <v>0611833352025</v>
      </c>
      <c r="B3392" t="str">
        <f>"MQ7052"</f>
        <v>MQ7052</v>
      </c>
      <c r="C3392" t="s">
        <v>3301</v>
      </c>
    </row>
    <row r="3393" spans="1:3" x14ac:dyDescent="0.25">
      <c r="A3393" t="str">
        <f>"0611861467100"</f>
        <v>0611861467100</v>
      </c>
      <c r="B3393" t="str">
        <f>"CN5055"</f>
        <v>CN5055</v>
      </c>
      <c r="C3393" t="s">
        <v>3300</v>
      </c>
    </row>
    <row r="3394" spans="1:3" x14ac:dyDescent="0.25">
      <c r="A3394" t="str">
        <f>"0611861469100"</f>
        <v>0611861469100</v>
      </c>
      <c r="B3394" t="str">
        <f>"CN5056"</f>
        <v>CN5056</v>
      </c>
      <c r="C3394" t="s">
        <v>3303</v>
      </c>
    </row>
    <row r="3395" spans="1:3" x14ac:dyDescent="0.25">
      <c r="A3395" t="str">
        <f>"0611906711025"</f>
        <v>0611906711025</v>
      </c>
      <c r="B3395" t="str">
        <f>"MQ0852"</f>
        <v>MQ0852</v>
      </c>
      <c r="C3395" t="s">
        <v>3304</v>
      </c>
    </row>
    <row r="3396" spans="1:3" x14ac:dyDescent="0.25">
      <c r="A3396" t="str">
        <f>"0611861470100"</f>
        <v>0611861470100</v>
      </c>
      <c r="B3396" t="str">
        <f>"CN5057"</f>
        <v>CN5057</v>
      </c>
      <c r="C3396" t="s">
        <v>3305</v>
      </c>
    </row>
    <row r="3397" spans="1:3" x14ac:dyDescent="0.25">
      <c r="A3397" t="str">
        <f>"0611833355025"</f>
        <v>0611833355025</v>
      </c>
      <c r="B3397" t="str">
        <f>"MQ0472"</f>
        <v>MQ0472</v>
      </c>
      <c r="C3397" t="s">
        <v>3306</v>
      </c>
    </row>
    <row r="3398" spans="1:3" x14ac:dyDescent="0.25">
      <c r="A3398" t="str">
        <f>"0611861471100"</f>
        <v>0611861471100</v>
      </c>
      <c r="B3398" t="str">
        <f>"CN5058"</f>
        <v>CN5058</v>
      </c>
      <c r="C3398" t="s">
        <v>3307</v>
      </c>
    </row>
    <row r="3399" spans="1:3" x14ac:dyDescent="0.25">
      <c r="A3399" t="str">
        <f>"0611861472100"</f>
        <v>0611861472100</v>
      </c>
      <c r="B3399" t="str">
        <f>"CN5059"</f>
        <v>CN5059</v>
      </c>
      <c r="C3399" t="s">
        <v>3308</v>
      </c>
    </row>
    <row r="3400" spans="1:3" x14ac:dyDescent="0.25">
      <c r="A3400" t="str">
        <f>"0611833360025"</f>
        <v>0611833360025</v>
      </c>
      <c r="B3400" t="str">
        <f>"MQ7053"</f>
        <v>MQ7053</v>
      </c>
      <c r="C3400" t="s">
        <v>3309</v>
      </c>
    </row>
    <row r="3401" spans="1:3" x14ac:dyDescent="0.25">
      <c r="A3401" t="str">
        <f>"0611861473050"</f>
        <v>0611861473050</v>
      </c>
      <c r="B3401" t="str">
        <f>"CR4227"</f>
        <v>CR4227</v>
      </c>
      <c r="C3401" t="s">
        <v>3302</v>
      </c>
    </row>
    <row r="3402" spans="1:3" x14ac:dyDescent="0.25">
      <c r="A3402" t="str">
        <f>"0611861474100"</f>
        <v>0611861474100</v>
      </c>
      <c r="B3402" t="str">
        <f>"CN5060"</f>
        <v>CN5060</v>
      </c>
      <c r="C3402" t="s">
        <v>3310</v>
      </c>
    </row>
    <row r="3403" spans="1:3" x14ac:dyDescent="0.25">
      <c r="A3403" t="str">
        <f>"0611833357025"</f>
        <v>0611833357025</v>
      </c>
      <c r="B3403" t="str">
        <f>"MQ7054"</f>
        <v>MQ7054</v>
      </c>
      <c r="C3403" t="s">
        <v>3311</v>
      </c>
    </row>
    <row r="3404" spans="1:3" x14ac:dyDescent="0.25">
      <c r="A3404" t="str">
        <f>"0611861476100"</f>
        <v>0611861476100</v>
      </c>
      <c r="B3404" t="str">
        <f>"CN5061"</f>
        <v>CN5061</v>
      </c>
      <c r="C3404" t="s">
        <v>3312</v>
      </c>
    </row>
    <row r="3405" spans="1:3" x14ac:dyDescent="0.25">
      <c r="A3405" t="str">
        <f>"0611833358025"</f>
        <v>0611833358025</v>
      </c>
      <c r="B3405" t="str">
        <f>"MQ0474"</f>
        <v>MQ0474</v>
      </c>
      <c r="C3405" t="s">
        <v>3313</v>
      </c>
    </row>
    <row r="3406" spans="1:3" x14ac:dyDescent="0.25">
      <c r="A3406" t="str">
        <f>"0611861477100"</f>
        <v>0611861477100</v>
      </c>
      <c r="B3406" t="str">
        <f>"CN5033"</f>
        <v>CN5033</v>
      </c>
      <c r="C3406" t="s">
        <v>3314</v>
      </c>
    </row>
    <row r="3407" spans="1:3" x14ac:dyDescent="0.25">
      <c r="A3407" t="str">
        <f>"0611833361100"</f>
        <v>0611833361100</v>
      </c>
      <c r="B3407" t="str">
        <f>"LH2871"</f>
        <v>LH2871</v>
      </c>
      <c r="C3407" t="s">
        <v>3315</v>
      </c>
    </row>
    <row r="3408" spans="1:3" x14ac:dyDescent="0.25">
      <c r="A3408" t="str">
        <f>"0611833362025"</f>
        <v>0611833362025</v>
      </c>
      <c r="B3408" t="str">
        <f>"MC0201"</f>
        <v>MC0201</v>
      </c>
      <c r="C3408" t="s">
        <v>3316</v>
      </c>
    </row>
    <row r="3409" spans="1:3" x14ac:dyDescent="0.25">
      <c r="A3409" t="str">
        <f>"0611861479050"</f>
        <v>0611861479050</v>
      </c>
      <c r="B3409" t="str">
        <f>"CR3783"</f>
        <v>CR3783</v>
      </c>
      <c r="C3409" t="s">
        <v>3317</v>
      </c>
    </row>
    <row r="3410" spans="1:3" x14ac:dyDescent="0.25">
      <c r="A3410" t="str">
        <f>"0611861480100"</f>
        <v>0611861480100</v>
      </c>
      <c r="B3410" t="str">
        <f>"CN5045"</f>
        <v>CN5045</v>
      </c>
      <c r="C3410" t="s">
        <v>3318</v>
      </c>
    </row>
    <row r="3411" spans="1:3" x14ac:dyDescent="0.25">
      <c r="A3411" t="str">
        <f>"0611861481100"</f>
        <v>0611861481100</v>
      </c>
      <c r="B3411" t="str">
        <f>"CN5036"</f>
        <v>CN5036</v>
      </c>
      <c r="C3411" t="s">
        <v>3319</v>
      </c>
    </row>
    <row r="3412" spans="1:3" x14ac:dyDescent="0.25">
      <c r="A3412" t="str">
        <f>"0611861482100"</f>
        <v>0611861482100</v>
      </c>
      <c r="B3412" t="str">
        <f>"CN5035"</f>
        <v>CN5035</v>
      </c>
      <c r="C3412" t="s">
        <v>3320</v>
      </c>
    </row>
    <row r="3413" spans="1:3" x14ac:dyDescent="0.25">
      <c r="A3413" t="str">
        <f>"0611833363025"</f>
        <v>0611833363025</v>
      </c>
      <c r="B3413" t="str">
        <f>"MC0204"</f>
        <v>MC0204</v>
      </c>
      <c r="C3413" t="s">
        <v>3321</v>
      </c>
    </row>
    <row r="3414" spans="1:3" x14ac:dyDescent="0.25">
      <c r="A3414" t="str">
        <f>"0611906712025"</f>
        <v>0611906712025</v>
      </c>
      <c r="B3414" t="str">
        <f>"MQ7580"</f>
        <v>MQ7580</v>
      </c>
      <c r="C3414" t="s">
        <v>3322</v>
      </c>
    </row>
    <row r="3415" spans="1:3" x14ac:dyDescent="0.25">
      <c r="A3415" t="str">
        <f>"0611861483100"</f>
        <v>0611861483100</v>
      </c>
      <c r="B3415" t="str">
        <f>"CN2346"</f>
        <v>CN2346</v>
      </c>
      <c r="C3415" t="s">
        <v>3323</v>
      </c>
    </row>
    <row r="3416" spans="1:3" x14ac:dyDescent="0.25">
      <c r="A3416" t="str">
        <f>"0611861484100"</f>
        <v>0611861484100</v>
      </c>
      <c r="B3416" t="str">
        <f>"CN5062"</f>
        <v>CN5062</v>
      </c>
      <c r="C3416" t="s">
        <v>3324</v>
      </c>
    </row>
    <row r="3417" spans="1:3" x14ac:dyDescent="0.25">
      <c r="A3417" t="str">
        <f>"0611833367025"</f>
        <v>0611833367025</v>
      </c>
      <c r="B3417" t="str">
        <f>"MQ7055"</f>
        <v>MQ7055</v>
      </c>
      <c r="C3417" t="s">
        <v>3325</v>
      </c>
    </row>
    <row r="3418" spans="1:3" x14ac:dyDescent="0.25">
      <c r="A3418" t="str">
        <f>"0611861485100"</f>
        <v>0611861485100</v>
      </c>
      <c r="B3418" t="str">
        <f>"CN5063"</f>
        <v>CN5063</v>
      </c>
      <c r="C3418" t="s">
        <v>3326</v>
      </c>
    </row>
    <row r="3419" spans="1:3" x14ac:dyDescent="0.25">
      <c r="A3419" t="str">
        <f>"0611861486050"</f>
        <v>0611861486050</v>
      </c>
      <c r="B3419" t="str">
        <f>"CR4229"</f>
        <v>CR4229</v>
      </c>
      <c r="C3419" t="s">
        <v>3327</v>
      </c>
    </row>
    <row r="3420" spans="1:3" x14ac:dyDescent="0.25">
      <c r="A3420" t="str">
        <f>"0611861487100"</f>
        <v>0611861487100</v>
      </c>
      <c r="B3420" t="str">
        <f>"CN5064"</f>
        <v>CN5064</v>
      </c>
      <c r="C3420" t="s">
        <v>3328</v>
      </c>
    </row>
    <row r="3421" spans="1:3" x14ac:dyDescent="0.25">
      <c r="A3421" t="str">
        <f>"0611833370025"</f>
        <v>0611833370025</v>
      </c>
      <c r="B3421" t="str">
        <f>"MC4075"</f>
        <v>MC4075</v>
      </c>
      <c r="C3421" t="s">
        <v>3329</v>
      </c>
    </row>
    <row r="3422" spans="1:3" x14ac:dyDescent="0.25">
      <c r="A3422" t="str">
        <f>"0611833371025"</f>
        <v>0611833371025</v>
      </c>
      <c r="B3422" t="str">
        <f>"MQ3216"</f>
        <v>MQ3216</v>
      </c>
      <c r="C3422" t="s">
        <v>3330</v>
      </c>
    </row>
    <row r="3423" spans="1:3" x14ac:dyDescent="0.25">
      <c r="A3423" t="str">
        <f>"0611833372025"</f>
        <v>0611833372025</v>
      </c>
      <c r="B3423" t="str">
        <f>"MQ0696"</f>
        <v>MQ0696</v>
      </c>
      <c r="C3423" t="s">
        <v>3331</v>
      </c>
    </row>
    <row r="3424" spans="1:3" x14ac:dyDescent="0.25">
      <c r="A3424" t="str">
        <f>"0611833373025"</f>
        <v>0611833373025</v>
      </c>
      <c r="B3424" t="str">
        <f>"MC2386"</f>
        <v>MC2386</v>
      </c>
      <c r="C3424" t="s">
        <v>3332</v>
      </c>
    </row>
    <row r="3425" spans="1:3" x14ac:dyDescent="0.25">
      <c r="A3425" t="str">
        <f>"0611833375025"</f>
        <v>0611833375025</v>
      </c>
      <c r="B3425" t="str">
        <f>"MQ6010"</f>
        <v>MQ6010</v>
      </c>
      <c r="C3425" t="s">
        <v>3333</v>
      </c>
    </row>
    <row r="3426" spans="1:3" x14ac:dyDescent="0.25">
      <c r="A3426" t="str">
        <f>"0611861488100"</f>
        <v>0611861488100</v>
      </c>
      <c r="B3426" t="str">
        <f>"CN5040"</f>
        <v>CN5040</v>
      </c>
      <c r="C3426" t="s">
        <v>3334</v>
      </c>
    </row>
    <row r="3427" spans="1:3" x14ac:dyDescent="0.25">
      <c r="A3427" t="str">
        <f>"0611833389025"</f>
        <v>0611833389025</v>
      </c>
      <c r="B3427" t="str">
        <f>"MQ0481"</f>
        <v>MQ0481</v>
      </c>
      <c r="C3427" t="s">
        <v>3335</v>
      </c>
    </row>
    <row r="3428" spans="1:3" x14ac:dyDescent="0.25">
      <c r="A3428" t="str">
        <f>"0611861495100"</f>
        <v>0611861495100</v>
      </c>
      <c r="B3428" t="str">
        <f>"CN5043"</f>
        <v>CN5043</v>
      </c>
      <c r="C3428" t="s">
        <v>3336</v>
      </c>
    </row>
    <row r="3429" spans="1:3" x14ac:dyDescent="0.25">
      <c r="A3429" t="str">
        <f>"0611833377025"</f>
        <v>0611833377025</v>
      </c>
      <c r="B3429" t="str">
        <f>"MQ0485"</f>
        <v>MQ0485</v>
      </c>
      <c r="C3429" t="s">
        <v>3337</v>
      </c>
    </row>
    <row r="3430" spans="1:3" x14ac:dyDescent="0.25">
      <c r="A3430" t="str">
        <f>"0611861496100"</f>
        <v>0611861496100</v>
      </c>
      <c r="B3430" t="str">
        <f>"CN5044"</f>
        <v>CN5044</v>
      </c>
      <c r="C3430" t="s">
        <v>3338</v>
      </c>
    </row>
    <row r="3431" spans="1:3" x14ac:dyDescent="0.25">
      <c r="A3431" t="str">
        <f>"0611833392025"</f>
        <v>0611833392025</v>
      </c>
      <c r="B3431" t="str">
        <f>"MQ0486"</f>
        <v>MQ0486</v>
      </c>
      <c r="C3431" t="s">
        <v>3339</v>
      </c>
    </row>
    <row r="3432" spans="1:3" x14ac:dyDescent="0.25">
      <c r="A3432" t="str">
        <f>"0611833380025"</f>
        <v>0611833380025</v>
      </c>
      <c r="B3432" t="str">
        <f>"MQ0637"</f>
        <v>MQ0637</v>
      </c>
      <c r="C3432" t="s">
        <v>3340</v>
      </c>
    </row>
    <row r="3433" spans="1:3" x14ac:dyDescent="0.25">
      <c r="A3433" t="str">
        <f>"0611833381025"</f>
        <v>0611833381025</v>
      </c>
      <c r="B3433" t="str">
        <f>"MQ0589"</f>
        <v>MQ0589</v>
      </c>
      <c r="C3433" t="s">
        <v>3341</v>
      </c>
    </row>
    <row r="3434" spans="1:3" x14ac:dyDescent="0.25">
      <c r="A3434" t="str">
        <f>"0611833382025"</f>
        <v>0611833382025</v>
      </c>
      <c r="B3434" t="str">
        <f>"MQ5011"</f>
        <v>MQ5011</v>
      </c>
      <c r="C3434" t="s">
        <v>3342</v>
      </c>
    </row>
    <row r="3435" spans="1:3" x14ac:dyDescent="0.25">
      <c r="A3435" t="str">
        <f>"0611833384025"</f>
        <v>0611833384025</v>
      </c>
      <c r="B3435" t="str">
        <f>"MQ5040"</f>
        <v>MQ5040</v>
      </c>
      <c r="C3435" t="s">
        <v>3343</v>
      </c>
    </row>
    <row r="3436" spans="1:3" x14ac:dyDescent="0.25">
      <c r="A3436" t="str">
        <f>"0611833385100"</f>
        <v>0611833385100</v>
      </c>
      <c r="B3436" t="str">
        <f>"LQ6011"</f>
        <v>LQ6011</v>
      </c>
      <c r="C3436" t="s">
        <v>3344</v>
      </c>
    </row>
    <row r="3437" spans="1:3" x14ac:dyDescent="0.25">
      <c r="A3437" t="str">
        <f>"0611884142025"</f>
        <v>0611884142025</v>
      </c>
      <c r="B3437" t="str">
        <f>"MQ0824"</f>
        <v>MQ0824</v>
      </c>
      <c r="C3437" t="s">
        <v>3345</v>
      </c>
    </row>
    <row r="3438" spans="1:3" x14ac:dyDescent="0.25">
      <c r="A3438" t="str">
        <f>"0611833386025"</f>
        <v>0611833386025</v>
      </c>
      <c r="B3438" t="str">
        <f>"MQ0663"</f>
        <v>MQ0663</v>
      </c>
      <c r="C3438" t="s">
        <v>3346</v>
      </c>
    </row>
    <row r="3439" spans="1:3" x14ac:dyDescent="0.25">
      <c r="A3439" t="str">
        <f>"0611833387025"</f>
        <v>0611833387025</v>
      </c>
      <c r="B3439" t="str">
        <f>"MQ0664"</f>
        <v>MQ0664</v>
      </c>
      <c r="C3439" t="s">
        <v>3347</v>
      </c>
    </row>
    <row r="3440" spans="1:3" x14ac:dyDescent="0.25">
      <c r="A3440" t="str">
        <f>"0611833388025"</f>
        <v>0611833388025</v>
      </c>
      <c r="B3440" t="str">
        <f>"MQ0665"</f>
        <v>MQ0665</v>
      </c>
      <c r="C3440" t="s">
        <v>3348</v>
      </c>
    </row>
    <row r="3441" spans="1:3" x14ac:dyDescent="0.25">
      <c r="A3441" t="str">
        <f>"0611861497050"</f>
        <v>0611861497050</v>
      </c>
      <c r="B3441" t="str">
        <f>"CR4215"</f>
        <v>CR4215</v>
      </c>
      <c r="C3441" t="s">
        <v>3349</v>
      </c>
    </row>
    <row r="3442" spans="1:3" x14ac:dyDescent="0.25">
      <c r="A3442" t="str">
        <f>"0611833394025"</f>
        <v>0611833394025</v>
      </c>
      <c r="B3442" t="str">
        <f>"MC2659"</f>
        <v>MC2659</v>
      </c>
      <c r="C3442" t="s">
        <v>3350</v>
      </c>
    </row>
    <row r="3443" spans="1:3" x14ac:dyDescent="0.25">
      <c r="A3443" t="str">
        <f>"0611833395025"</f>
        <v>0611833395025</v>
      </c>
      <c r="B3443" t="str">
        <f>"MC4095"</f>
        <v>MC4095</v>
      </c>
      <c r="C3443" t="s">
        <v>3351</v>
      </c>
    </row>
    <row r="3444" spans="1:3" x14ac:dyDescent="0.25">
      <c r="A3444" t="str">
        <f>"0611833396025"</f>
        <v>0611833396025</v>
      </c>
      <c r="B3444" t="str">
        <f>"MQ0079"</f>
        <v>MQ0079</v>
      </c>
      <c r="C3444" t="s">
        <v>3352</v>
      </c>
    </row>
    <row r="3445" spans="1:3" x14ac:dyDescent="0.25">
      <c r="A3445" t="str">
        <f>"0611833397100"</f>
        <v>0611833397100</v>
      </c>
      <c r="B3445" t="str">
        <f>"LH2867"</f>
        <v>LH2867</v>
      </c>
      <c r="C3445" t="s">
        <v>3353</v>
      </c>
    </row>
    <row r="3446" spans="1:3" x14ac:dyDescent="0.25">
      <c r="A3446" t="str">
        <f>"0611906713025"</f>
        <v>0611906713025</v>
      </c>
      <c r="B3446" t="str">
        <f>"MQ7581"</f>
        <v>MQ7581</v>
      </c>
      <c r="C3446" t="s">
        <v>3354</v>
      </c>
    </row>
    <row r="3447" spans="1:3" x14ac:dyDescent="0.25">
      <c r="A3447" t="str">
        <f>"0611906714025"</f>
        <v>0611906714025</v>
      </c>
      <c r="B3447" t="str">
        <f>"MQ7582"</f>
        <v>MQ7582</v>
      </c>
      <c r="C3447" t="s">
        <v>3355</v>
      </c>
    </row>
    <row r="3448" spans="1:3" x14ac:dyDescent="0.25">
      <c r="A3448" t="str">
        <f>"0611906715025"</f>
        <v>0611906715025</v>
      </c>
      <c r="B3448" t="str">
        <f>"MQ7583"</f>
        <v>MQ7583</v>
      </c>
      <c r="C3448" t="s">
        <v>3356</v>
      </c>
    </row>
    <row r="3449" spans="1:3" x14ac:dyDescent="0.25">
      <c r="A3449" t="str">
        <f>"0611861499100"</f>
        <v>0611861499100</v>
      </c>
      <c r="B3449" t="str">
        <f>"CN5037"</f>
        <v>CN5037</v>
      </c>
      <c r="C3449" t="s">
        <v>3357</v>
      </c>
    </row>
    <row r="3450" spans="1:3" x14ac:dyDescent="0.25">
      <c r="A3450" t="str">
        <f>"0611833399025"</f>
        <v>0611833399025</v>
      </c>
      <c r="B3450" t="str">
        <f>"MQ0417"</f>
        <v>MQ0417</v>
      </c>
      <c r="C3450" t="s">
        <v>3358</v>
      </c>
    </row>
    <row r="3451" spans="1:3" x14ac:dyDescent="0.25">
      <c r="A3451" t="str">
        <f>"0611833401025"</f>
        <v>0611833401025</v>
      </c>
      <c r="B3451" t="str">
        <f>"MQ0174"</f>
        <v>MQ0174</v>
      </c>
      <c r="C3451" t="s">
        <v>3359</v>
      </c>
    </row>
    <row r="3452" spans="1:3" x14ac:dyDescent="0.25">
      <c r="A3452" t="str">
        <f>"0611833402025"</f>
        <v>0611833402025</v>
      </c>
      <c r="B3452" t="str">
        <f>"MQ3118"</f>
        <v>MQ3118</v>
      </c>
      <c r="C3452" t="s">
        <v>3360</v>
      </c>
    </row>
    <row r="3453" spans="1:3" x14ac:dyDescent="0.25">
      <c r="A3453" t="str">
        <f>"0611833403025"</f>
        <v>0611833403025</v>
      </c>
      <c r="B3453" t="str">
        <f>"MQ3119"</f>
        <v>MQ3119</v>
      </c>
      <c r="C3453" t="s">
        <v>3361</v>
      </c>
    </row>
    <row r="3454" spans="1:3" x14ac:dyDescent="0.25">
      <c r="A3454" t="str">
        <f>"0611906716025"</f>
        <v>0611906716025</v>
      </c>
      <c r="B3454" t="str">
        <f>"MQ7584"</f>
        <v>MQ7584</v>
      </c>
      <c r="C3454" t="s">
        <v>3362</v>
      </c>
    </row>
    <row r="3455" spans="1:3" x14ac:dyDescent="0.25">
      <c r="A3455" t="str">
        <f>"0611833404025"</f>
        <v>0611833404025</v>
      </c>
      <c r="B3455" t="str">
        <f>"MQ3120"</f>
        <v>MQ3120</v>
      </c>
      <c r="C3455" t="s">
        <v>3363</v>
      </c>
    </row>
    <row r="3456" spans="1:3" x14ac:dyDescent="0.25">
      <c r="A3456" t="str">
        <f>"0611833405025"</f>
        <v>0611833405025</v>
      </c>
      <c r="B3456" t="str">
        <f>"MQ0697"</f>
        <v>MQ0697</v>
      </c>
      <c r="C3456" t="s">
        <v>3364</v>
      </c>
    </row>
    <row r="3457" spans="1:3" x14ac:dyDescent="0.25">
      <c r="A3457" t="str">
        <f>"0611833406025"</f>
        <v>0611833406025</v>
      </c>
      <c r="B3457" t="str">
        <f>"MQ3121"</f>
        <v>MQ3121</v>
      </c>
      <c r="C3457" t="s">
        <v>3365</v>
      </c>
    </row>
    <row r="3458" spans="1:3" x14ac:dyDescent="0.25">
      <c r="A3458" t="str">
        <f>"0611833407100"</f>
        <v>0611833407100</v>
      </c>
      <c r="B3458" t="str">
        <f>"LH2874"</f>
        <v>LH2874</v>
      </c>
      <c r="C3458" t="s">
        <v>3366</v>
      </c>
    </row>
    <row r="3459" spans="1:3" x14ac:dyDescent="0.25">
      <c r="A3459" t="str">
        <f>"0611833408025"</f>
        <v>0611833408025</v>
      </c>
      <c r="B3459" t="str">
        <f>"MC3709"</f>
        <v>MC3709</v>
      </c>
      <c r="C3459" t="s">
        <v>3367</v>
      </c>
    </row>
    <row r="3460" spans="1:3" x14ac:dyDescent="0.25">
      <c r="A3460" t="str">
        <f>"0611861500100"</f>
        <v>0611861500100</v>
      </c>
      <c r="B3460" t="str">
        <f>"CN5046"</f>
        <v>CN5046</v>
      </c>
      <c r="C3460" t="s">
        <v>3369</v>
      </c>
    </row>
    <row r="3461" spans="1:3" x14ac:dyDescent="0.25">
      <c r="A3461" t="str">
        <f>"0611833409100"</f>
        <v>0611833409100</v>
      </c>
      <c r="B3461" t="str">
        <f>"LH2875"</f>
        <v>LH2875</v>
      </c>
      <c r="C3461" t="s">
        <v>3368</v>
      </c>
    </row>
    <row r="3462" spans="1:3" x14ac:dyDescent="0.25">
      <c r="A3462" t="str">
        <f>"0611833410025"</f>
        <v>0611833410025</v>
      </c>
      <c r="B3462" t="str">
        <f>"MC0203"</f>
        <v>MC0203</v>
      </c>
      <c r="C3462" t="s">
        <v>3370</v>
      </c>
    </row>
    <row r="3463" spans="1:3" x14ac:dyDescent="0.25">
      <c r="A3463" t="str">
        <f>"0611840734100"</f>
        <v>0611840734100</v>
      </c>
      <c r="B3463" t="str">
        <f>"LL0021"</f>
        <v>LL0021</v>
      </c>
      <c r="C3463" t="s">
        <v>3377</v>
      </c>
    </row>
    <row r="3464" spans="1:3" x14ac:dyDescent="0.25">
      <c r="A3464" t="str">
        <f>"0611840735100"</f>
        <v>0611840735100</v>
      </c>
      <c r="B3464" t="str">
        <f>"LL1458"</f>
        <v>LL1458</v>
      </c>
      <c r="C3464" t="s">
        <v>3378</v>
      </c>
    </row>
    <row r="3465" spans="1:3" x14ac:dyDescent="0.25">
      <c r="A3465" t="str">
        <f>"0611840737100"</f>
        <v>0611840737100</v>
      </c>
      <c r="B3465" t="str">
        <f>"LL5012"</f>
        <v>LL5012</v>
      </c>
      <c r="C3465" t="s">
        <v>3379</v>
      </c>
    </row>
    <row r="3466" spans="1:3" x14ac:dyDescent="0.25">
      <c r="A3466" t="str">
        <f>"0611840736100"</f>
        <v>0611840736100</v>
      </c>
      <c r="B3466" t="str">
        <f>"LL1450"</f>
        <v>LL1450</v>
      </c>
      <c r="C3466" t="s">
        <v>3380</v>
      </c>
    </row>
    <row r="3467" spans="1:3" x14ac:dyDescent="0.25">
      <c r="A3467" t="str">
        <f>"0611840739100"</f>
        <v>0611840739100</v>
      </c>
      <c r="B3467" t="str">
        <f>"LL1462"</f>
        <v>LL1462</v>
      </c>
      <c r="C3467" t="s">
        <v>3381</v>
      </c>
    </row>
    <row r="3468" spans="1:3" x14ac:dyDescent="0.25">
      <c r="A3468" t="str">
        <f>"0611840740100"</f>
        <v>0611840740100</v>
      </c>
      <c r="B3468" t="str">
        <f>"LL1451"</f>
        <v>LL1451</v>
      </c>
      <c r="C3468" t="s">
        <v>3382</v>
      </c>
    </row>
    <row r="3469" spans="1:3" x14ac:dyDescent="0.25">
      <c r="A3469" t="str">
        <f>"0611840741100"</f>
        <v>0611840741100</v>
      </c>
      <c r="B3469" t="str">
        <f>"LC9601"</f>
        <v>LC9601</v>
      </c>
      <c r="C3469" t="s">
        <v>3383</v>
      </c>
    </row>
    <row r="3470" spans="1:3" x14ac:dyDescent="0.25">
      <c r="A3470" t="str">
        <f>"0611840743100"</f>
        <v>0611840743100</v>
      </c>
      <c r="B3470" t="str">
        <f>"LL1453"</f>
        <v>LL1453</v>
      </c>
      <c r="C3470" t="s">
        <v>3384</v>
      </c>
    </row>
    <row r="3471" spans="1:3" x14ac:dyDescent="0.25">
      <c r="A3471" t="str">
        <f>"0611840744100"</f>
        <v>0611840744100</v>
      </c>
      <c r="B3471" t="str">
        <f>"LL1459"</f>
        <v>LL1459</v>
      </c>
      <c r="C3471" t="s">
        <v>3385</v>
      </c>
    </row>
    <row r="3472" spans="1:3" x14ac:dyDescent="0.25">
      <c r="A3472" t="str">
        <f>"0611840745100"</f>
        <v>0611840745100</v>
      </c>
      <c r="B3472" t="str">
        <f>"LL1460"</f>
        <v>LL1460</v>
      </c>
      <c r="C3472" t="s">
        <v>3386</v>
      </c>
    </row>
    <row r="3473" spans="1:3" x14ac:dyDescent="0.25">
      <c r="A3473" t="str">
        <f>"0611833416100"</f>
        <v>0611833416100</v>
      </c>
      <c r="B3473" t="str">
        <f>"LH2922"</f>
        <v>LH2922</v>
      </c>
      <c r="C3473" t="s">
        <v>3387</v>
      </c>
    </row>
    <row r="3474" spans="1:3" x14ac:dyDescent="0.25">
      <c r="A3474" t="str">
        <f>"0611833417100"</f>
        <v>0611833417100</v>
      </c>
      <c r="B3474" t="str">
        <f>"LH2920"</f>
        <v>LH2920</v>
      </c>
      <c r="C3474" t="s">
        <v>3388</v>
      </c>
    </row>
    <row r="3475" spans="1:3" x14ac:dyDescent="0.25">
      <c r="A3475" t="str">
        <f>"0611833418025"</f>
        <v>0611833418025</v>
      </c>
      <c r="B3475" t="str">
        <f>"MC0867"</f>
        <v>MC0867</v>
      </c>
      <c r="C3475" t="s">
        <v>3389</v>
      </c>
    </row>
    <row r="3476" spans="1:3" x14ac:dyDescent="0.25">
      <c r="A3476" t="str">
        <f>"0611833419025"</f>
        <v>0611833419025</v>
      </c>
      <c r="B3476" t="str">
        <f>"MC1909"</f>
        <v>MC1909</v>
      </c>
      <c r="C3476" t="s">
        <v>3390</v>
      </c>
    </row>
    <row r="3477" spans="1:3" x14ac:dyDescent="0.25">
      <c r="A3477" t="str">
        <f>"0611906717100"</f>
        <v>0611906717100</v>
      </c>
      <c r="B3477" t="str">
        <f>"LK7252"</f>
        <v>LK7252</v>
      </c>
      <c r="C3477" t="s">
        <v>3391</v>
      </c>
    </row>
    <row r="3478" spans="1:3" x14ac:dyDescent="0.25">
      <c r="A3478" t="str">
        <f>"0611833421100"</f>
        <v>0611833421100</v>
      </c>
      <c r="B3478" t="str">
        <f>"LK6045"</f>
        <v>LK6045</v>
      </c>
      <c r="C3478" t="s">
        <v>3392</v>
      </c>
    </row>
    <row r="3479" spans="1:3" x14ac:dyDescent="0.25">
      <c r="A3479" t="str">
        <f>"0611833422100"</f>
        <v>0611833422100</v>
      </c>
      <c r="B3479" t="str">
        <f>"LK7007"</f>
        <v>LK7007</v>
      </c>
      <c r="C3479" t="s">
        <v>3393</v>
      </c>
    </row>
    <row r="3480" spans="1:3" x14ac:dyDescent="0.25">
      <c r="A3480" t="str">
        <f>"0611833423100"</f>
        <v>0611833423100</v>
      </c>
      <c r="B3480" t="str">
        <f>"LK6046"</f>
        <v>LK6046</v>
      </c>
      <c r="C3480" t="s">
        <v>3394</v>
      </c>
    </row>
    <row r="3481" spans="1:3" x14ac:dyDescent="0.25">
      <c r="A3481" t="str">
        <f>"0611906718100"</f>
        <v>0611906718100</v>
      </c>
      <c r="B3481" t="str">
        <f>"LK7253"</f>
        <v>LK7253</v>
      </c>
      <c r="C3481" t="s">
        <v>3395</v>
      </c>
    </row>
    <row r="3482" spans="1:3" x14ac:dyDescent="0.25">
      <c r="A3482" t="str">
        <f>"0611833424100"</f>
        <v>0611833424100</v>
      </c>
      <c r="B3482" t="str">
        <f>"LK6048"</f>
        <v>LK6048</v>
      </c>
      <c r="C3482" t="s">
        <v>3396</v>
      </c>
    </row>
    <row r="3483" spans="1:3" x14ac:dyDescent="0.25">
      <c r="A3483" t="str">
        <f>"0611833425100"</f>
        <v>0611833425100</v>
      </c>
      <c r="B3483" t="str">
        <f>"LK6380"</f>
        <v>LK6380</v>
      </c>
      <c r="C3483" t="s">
        <v>3397</v>
      </c>
    </row>
    <row r="3484" spans="1:3" x14ac:dyDescent="0.25">
      <c r="A3484" t="str">
        <f>"0611833430100"</f>
        <v>0611833430100</v>
      </c>
      <c r="B3484" t="str">
        <f>"LK7008"</f>
        <v>LK7008</v>
      </c>
      <c r="C3484" t="s">
        <v>3398</v>
      </c>
    </row>
    <row r="3485" spans="1:3" x14ac:dyDescent="0.25">
      <c r="A3485" t="str">
        <f>"0611833431025"</f>
        <v>0611833431025</v>
      </c>
      <c r="B3485" t="str">
        <f>"MC1527"</f>
        <v>MC1527</v>
      </c>
      <c r="C3485" t="s">
        <v>3399</v>
      </c>
    </row>
    <row r="3486" spans="1:3" x14ac:dyDescent="0.25">
      <c r="A3486" t="str">
        <f>"0611833432100"</f>
        <v>0611833432100</v>
      </c>
      <c r="B3486" t="str">
        <f>"LK1546"</f>
        <v>LK1546</v>
      </c>
      <c r="C3486" t="s">
        <v>3400</v>
      </c>
    </row>
    <row r="3487" spans="1:3" x14ac:dyDescent="0.25">
      <c r="A3487" t="str">
        <f>"0611833433100"</f>
        <v>0611833433100</v>
      </c>
      <c r="B3487" t="str">
        <f>"LB2335"</f>
        <v>LB2335</v>
      </c>
      <c r="C3487" t="s">
        <v>3401</v>
      </c>
    </row>
    <row r="3488" spans="1:3" x14ac:dyDescent="0.25">
      <c r="A3488" t="str">
        <f>"0611833434100"</f>
        <v>0611833434100</v>
      </c>
      <c r="B3488" t="str">
        <f>"LK1547"</f>
        <v>LK1547</v>
      </c>
      <c r="C3488" t="s">
        <v>3402</v>
      </c>
    </row>
    <row r="3489" spans="1:3" x14ac:dyDescent="0.25">
      <c r="A3489" t="str">
        <f>"0611833435100"</f>
        <v>0611833435100</v>
      </c>
      <c r="B3489" t="str">
        <f>"LB2353"</f>
        <v>LB2353</v>
      </c>
      <c r="C3489" t="s">
        <v>3403</v>
      </c>
    </row>
    <row r="3490" spans="1:3" x14ac:dyDescent="0.25">
      <c r="A3490" t="str">
        <f>"0611833437100"</f>
        <v>0611833437100</v>
      </c>
      <c r="B3490" t="str">
        <f>"LK3311"</f>
        <v>LK3311</v>
      </c>
      <c r="C3490" t="s">
        <v>3404</v>
      </c>
    </row>
    <row r="3491" spans="1:3" x14ac:dyDescent="0.25">
      <c r="A3491" t="str">
        <f>"0611833436100"</f>
        <v>0611833436100</v>
      </c>
      <c r="B3491" t="str">
        <f>"LB2337"</f>
        <v>LB2337</v>
      </c>
      <c r="C3491" t="s">
        <v>3405</v>
      </c>
    </row>
    <row r="3492" spans="1:3" x14ac:dyDescent="0.25">
      <c r="A3492" t="str">
        <f>"0611833439100"</f>
        <v>0611833439100</v>
      </c>
      <c r="B3492" t="str">
        <f>"LK6538"</f>
        <v>LK6538</v>
      </c>
      <c r="C3492" t="s">
        <v>3406</v>
      </c>
    </row>
    <row r="3493" spans="1:3" x14ac:dyDescent="0.25">
      <c r="A3493" t="str">
        <f>"0611833440100"</f>
        <v>0611833440100</v>
      </c>
      <c r="B3493" t="str">
        <f>"LB2340"</f>
        <v>LB2340</v>
      </c>
      <c r="C3493" t="s">
        <v>3407</v>
      </c>
    </row>
    <row r="3494" spans="1:3" x14ac:dyDescent="0.25">
      <c r="A3494" t="str">
        <f>"0611833441100"</f>
        <v>0611833441100</v>
      </c>
      <c r="B3494" t="str">
        <f>"LB2346"</f>
        <v>LB2346</v>
      </c>
      <c r="C3494" t="s">
        <v>3408</v>
      </c>
    </row>
    <row r="3495" spans="1:3" x14ac:dyDescent="0.25">
      <c r="A3495" t="str">
        <f>"0611833442100"</f>
        <v>0611833442100</v>
      </c>
      <c r="B3495" t="str">
        <f>"LB2342"</f>
        <v>LB2342</v>
      </c>
      <c r="C3495" t="s">
        <v>3409</v>
      </c>
    </row>
    <row r="3496" spans="1:3" x14ac:dyDescent="0.25">
      <c r="A3496" t="str">
        <f>"0611833443100"</f>
        <v>0611833443100</v>
      </c>
      <c r="B3496" t="str">
        <f>"LB2345"</f>
        <v>LB2345</v>
      </c>
      <c r="C3496" t="s">
        <v>3410</v>
      </c>
    </row>
    <row r="3497" spans="1:3" x14ac:dyDescent="0.25">
      <c r="A3497" t="str">
        <f>"0611833444100"</f>
        <v>0611833444100</v>
      </c>
      <c r="B3497" t="str">
        <f>"LB2331"</f>
        <v>LB2331</v>
      </c>
      <c r="C3497" t="s">
        <v>3411</v>
      </c>
    </row>
    <row r="3498" spans="1:3" x14ac:dyDescent="0.25">
      <c r="A3498" t="str">
        <f>"0611833445100"</f>
        <v>0611833445100</v>
      </c>
      <c r="B3498" t="str">
        <f>"LB2334"</f>
        <v>LB2334</v>
      </c>
      <c r="C3498" t="s">
        <v>3412</v>
      </c>
    </row>
    <row r="3499" spans="1:3" x14ac:dyDescent="0.25">
      <c r="A3499" t="str">
        <f>"0611833446100"</f>
        <v>0611833446100</v>
      </c>
      <c r="B3499" t="str">
        <f>"LB2332"</f>
        <v>LB2332</v>
      </c>
      <c r="C3499" t="s">
        <v>3413</v>
      </c>
    </row>
    <row r="3500" spans="1:3" x14ac:dyDescent="0.25">
      <c r="A3500" t="str">
        <f>"0611833447100"</f>
        <v>0611833447100</v>
      </c>
      <c r="B3500" t="str">
        <f>"LB2333"</f>
        <v>LB2333</v>
      </c>
      <c r="C3500" t="s">
        <v>3414</v>
      </c>
    </row>
    <row r="3501" spans="1:3" x14ac:dyDescent="0.25">
      <c r="A3501" t="str">
        <f>"0611833448100"</f>
        <v>0611833448100</v>
      </c>
      <c r="B3501" t="str">
        <f>"LK6331"</f>
        <v>LK6331</v>
      </c>
      <c r="C3501" t="s">
        <v>3415</v>
      </c>
    </row>
    <row r="3502" spans="1:3" x14ac:dyDescent="0.25">
      <c r="A3502" t="str">
        <f>"0611833449100"</f>
        <v>0611833449100</v>
      </c>
      <c r="B3502" t="str">
        <f>"LK6537"</f>
        <v>LK6537</v>
      </c>
      <c r="C3502" t="s">
        <v>3416</v>
      </c>
    </row>
    <row r="3503" spans="1:3" x14ac:dyDescent="0.25">
      <c r="A3503" t="str">
        <f>"0611833450100"</f>
        <v>0611833450100</v>
      </c>
      <c r="B3503" t="str">
        <f>"LB2343"</f>
        <v>LB2343</v>
      </c>
      <c r="C3503" t="s">
        <v>3417</v>
      </c>
    </row>
    <row r="3504" spans="1:3" x14ac:dyDescent="0.25">
      <c r="A3504" t="str">
        <f>"0611884143100"</f>
        <v>0611884143100</v>
      </c>
      <c r="B3504" t="str">
        <f>"LK7162"</f>
        <v>LK7162</v>
      </c>
      <c r="C3504" t="s">
        <v>3418</v>
      </c>
    </row>
    <row r="3505" spans="1:3" x14ac:dyDescent="0.25">
      <c r="A3505" t="str">
        <f>"0611833451100"</f>
        <v>0611833451100</v>
      </c>
      <c r="B3505" t="str">
        <f>"LB2348"</f>
        <v>LB2348</v>
      </c>
      <c r="C3505" t="s">
        <v>3419</v>
      </c>
    </row>
    <row r="3506" spans="1:3" x14ac:dyDescent="0.25">
      <c r="A3506" t="str">
        <f>"0611833452100"</f>
        <v>0611833452100</v>
      </c>
      <c r="B3506" t="str">
        <f>"LB2350"</f>
        <v>LB2350</v>
      </c>
      <c r="C3506" t="s">
        <v>3420</v>
      </c>
    </row>
    <row r="3507" spans="1:3" x14ac:dyDescent="0.25">
      <c r="A3507" t="str">
        <f>"0611884144100"</f>
        <v>0611884144100</v>
      </c>
      <c r="B3507" t="str">
        <f>"CN2010"</f>
        <v>CN2010</v>
      </c>
      <c r="C3507" t="s">
        <v>3422</v>
      </c>
    </row>
    <row r="3508" spans="1:3" x14ac:dyDescent="0.25">
      <c r="A3508" t="str">
        <f>"0611861502100"</f>
        <v>0611861502100</v>
      </c>
      <c r="B3508" t="str">
        <f>"CN2011"</f>
        <v>CN2011</v>
      </c>
      <c r="C3508" t="s">
        <v>3423</v>
      </c>
    </row>
    <row r="3509" spans="1:3" x14ac:dyDescent="0.25">
      <c r="A3509" t="str">
        <f>"0611833454100"</f>
        <v>0611833454100</v>
      </c>
      <c r="B3509" t="str">
        <f>"LF0044"</f>
        <v>LF0044</v>
      </c>
      <c r="C3509" t="s">
        <v>3421</v>
      </c>
    </row>
    <row r="3510" spans="1:3" x14ac:dyDescent="0.25">
      <c r="A3510" t="str">
        <f>"0611833455100"</f>
        <v>0611833455100</v>
      </c>
      <c r="B3510" t="str">
        <f>"LQ6080"</f>
        <v>LQ6080</v>
      </c>
      <c r="C3510" t="s">
        <v>3424</v>
      </c>
    </row>
    <row r="3511" spans="1:3" x14ac:dyDescent="0.25">
      <c r="A3511" t="str">
        <f>"0611861503100"</f>
        <v>0611861503100</v>
      </c>
      <c r="B3511" t="str">
        <f>"CN2012"</f>
        <v>CN2012</v>
      </c>
      <c r="C3511" t="s">
        <v>3425</v>
      </c>
    </row>
    <row r="3512" spans="1:3" x14ac:dyDescent="0.25">
      <c r="A3512" t="str">
        <f>"0611833456100"</f>
        <v>0611833456100</v>
      </c>
      <c r="B3512" t="str">
        <f>"LF0007"</f>
        <v>LF0007</v>
      </c>
      <c r="C3512" t="s">
        <v>3426</v>
      </c>
    </row>
    <row r="3513" spans="1:3" x14ac:dyDescent="0.25">
      <c r="A3513" t="str">
        <f>"0611833458100"</f>
        <v>0611833458100</v>
      </c>
      <c r="B3513" t="str">
        <f>"LG8034"</f>
        <v>LG8034</v>
      </c>
      <c r="C3513" t="s">
        <v>3427</v>
      </c>
    </row>
    <row r="3514" spans="1:3" x14ac:dyDescent="0.25">
      <c r="A3514" t="str">
        <f>"0611861504100"</f>
        <v>0611861504100</v>
      </c>
      <c r="B3514" t="str">
        <f>"CN2014"</f>
        <v>CN2014</v>
      </c>
      <c r="C3514" t="s">
        <v>3428</v>
      </c>
    </row>
    <row r="3515" spans="1:3" x14ac:dyDescent="0.25">
      <c r="A3515" t="str">
        <f>"0611861505100"</f>
        <v>0611861505100</v>
      </c>
      <c r="B3515" t="str">
        <f>"CN2324"</f>
        <v>CN2324</v>
      </c>
      <c r="C3515" t="s">
        <v>3429</v>
      </c>
    </row>
    <row r="3516" spans="1:3" x14ac:dyDescent="0.25">
      <c r="A3516" t="str">
        <f>"0611861506100"</f>
        <v>0611861506100</v>
      </c>
      <c r="B3516" t="str">
        <f>"CN2016"</f>
        <v>CN2016</v>
      </c>
      <c r="C3516" t="s">
        <v>3430</v>
      </c>
    </row>
    <row r="3517" spans="1:3" x14ac:dyDescent="0.25">
      <c r="A3517" t="str">
        <f>"0611861507100"</f>
        <v>0611861507100</v>
      </c>
      <c r="B3517" t="str">
        <f>"CN2013"</f>
        <v>CN2013</v>
      </c>
      <c r="C3517" t="s">
        <v>3431</v>
      </c>
    </row>
    <row r="3518" spans="1:3" x14ac:dyDescent="0.25">
      <c r="A3518" t="str">
        <f>"0611861508100"</f>
        <v>0611861508100</v>
      </c>
      <c r="B3518" t="str">
        <f>"CN2017"</f>
        <v>CN2017</v>
      </c>
      <c r="C3518" t="s">
        <v>3432</v>
      </c>
    </row>
    <row r="3519" spans="1:3" x14ac:dyDescent="0.25">
      <c r="A3519" t="str">
        <f>"0611833459100"</f>
        <v>0611833459100</v>
      </c>
      <c r="B3519" t="str">
        <f>"LG1004"</f>
        <v>LG1004</v>
      </c>
      <c r="C3519" t="s">
        <v>3433</v>
      </c>
    </row>
    <row r="3520" spans="1:3" x14ac:dyDescent="0.25">
      <c r="A3520" t="str">
        <f>"0611833460100"</f>
        <v>0611833460100</v>
      </c>
      <c r="B3520" t="str">
        <f>"LG8040"</f>
        <v>LG8040</v>
      </c>
      <c r="C3520" t="s">
        <v>3434</v>
      </c>
    </row>
    <row r="3521" spans="1:3" x14ac:dyDescent="0.25">
      <c r="A3521" t="str">
        <f>"0611861509100"</f>
        <v>0611861509100</v>
      </c>
      <c r="B3521" t="str">
        <f>"CN2018"</f>
        <v>CN2018</v>
      </c>
      <c r="C3521" t="s">
        <v>3435</v>
      </c>
    </row>
    <row r="3522" spans="1:3" x14ac:dyDescent="0.25">
      <c r="A3522" t="str">
        <f>"0611861510100"</f>
        <v>0611861510100</v>
      </c>
      <c r="B3522" t="str">
        <f>"CN2019"</f>
        <v>CN2019</v>
      </c>
      <c r="C3522" t="s">
        <v>3436</v>
      </c>
    </row>
    <row r="3523" spans="1:3" x14ac:dyDescent="0.25">
      <c r="A3523" t="str">
        <f>"0611861511100"</f>
        <v>0611861511100</v>
      </c>
      <c r="B3523" t="str">
        <f>"CN2020"</f>
        <v>CN2020</v>
      </c>
      <c r="C3523" t="s">
        <v>3437</v>
      </c>
    </row>
    <row r="3524" spans="1:3" x14ac:dyDescent="0.25">
      <c r="A3524" t="str">
        <f>"0611833461100"</f>
        <v>0611833461100</v>
      </c>
      <c r="B3524" t="str">
        <f>"LF1500"</f>
        <v>LF1500</v>
      </c>
      <c r="C3524" t="s">
        <v>3438</v>
      </c>
    </row>
    <row r="3525" spans="1:3" x14ac:dyDescent="0.25">
      <c r="A3525" t="str">
        <f>"0611861512100"</f>
        <v>0611861512100</v>
      </c>
      <c r="B3525" t="str">
        <f>"CN2021"</f>
        <v>CN2021</v>
      </c>
      <c r="C3525" t="s">
        <v>3439</v>
      </c>
    </row>
    <row r="3526" spans="1:3" x14ac:dyDescent="0.25">
      <c r="A3526" t="str">
        <f>"0611861513100"</f>
        <v>0611861513100</v>
      </c>
      <c r="B3526" t="str">
        <f>"CN2030"</f>
        <v>CN2030</v>
      </c>
      <c r="C3526" t="s">
        <v>3440</v>
      </c>
    </row>
    <row r="3527" spans="1:3" x14ac:dyDescent="0.25">
      <c r="A3527" t="str">
        <f>"0611861514100"</f>
        <v>0611861514100</v>
      </c>
      <c r="B3527" t="str">
        <f>"CN2022"</f>
        <v>CN2022</v>
      </c>
      <c r="C3527" t="s">
        <v>3441</v>
      </c>
    </row>
    <row r="3528" spans="1:3" x14ac:dyDescent="0.25">
      <c r="A3528" t="str">
        <f>"0611861515100"</f>
        <v>0611861515100</v>
      </c>
      <c r="B3528" t="str">
        <f>"CN2024"</f>
        <v>CN2024</v>
      </c>
      <c r="C3528" t="s">
        <v>3442</v>
      </c>
    </row>
    <row r="3529" spans="1:3" x14ac:dyDescent="0.25">
      <c r="A3529" t="str">
        <f>"0611861516100"</f>
        <v>0611861516100</v>
      </c>
      <c r="B3529" t="str">
        <f>"CN2025"</f>
        <v>CN2025</v>
      </c>
      <c r="C3529" t="s">
        <v>3443</v>
      </c>
    </row>
    <row r="3530" spans="1:3" x14ac:dyDescent="0.25">
      <c r="A3530" t="str">
        <f>"0611906719100"</f>
        <v>0611906719100</v>
      </c>
      <c r="B3530" t="str">
        <f>"LG8058"</f>
        <v>LG8058</v>
      </c>
      <c r="C3530" t="s">
        <v>3444</v>
      </c>
    </row>
    <row r="3531" spans="1:3" x14ac:dyDescent="0.25">
      <c r="A3531" t="str">
        <f>"0611861517100"</f>
        <v>0611861517100</v>
      </c>
      <c r="B3531" t="str">
        <f>"CN2028"</f>
        <v>CN2028</v>
      </c>
      <c r="C3531" t="s">
        <v>3445</v>
      </c>
    </row>
    <row r="3532" spans="1:3" x14ac:dyDescent="0.25">
      <c r="A3532" t="str">
        <f>"0611861518100"</f>
        <v>0611861518100</v>
      </c>
      <c r="B3532" t="str">
        <f>"CN2029"</f>
        <v>CN2029</v>
      </c>
      <c r="C3532" t="s">
        <v>3446</v>
      </c>
    </row>
    <row r="3533" spans="1:3" x14ac:dyDescent="0.25">
      <c r="A3533" t="str">
        <f>"0611833462100"</f>
        <v>0611833462100</v>
      </c>
      <c r="B3533" t="str">
        <f>"LF0009"</f>
        <v>LF0009</v>
      </c>
      <c r="C3533" t="s">
        <v>3447</v>
      </c>
    </row>
    <row r="3534" spans="1:3" x14ac:dyDescent="0.25">
      <c r="A3534" t="str">
        <f>"0611861519100"</f>
        <v>0611861519100</v>
      </c>
      <c r="B3534" t="str">
        <f>"CN2241"</f>
        <v>CN2241</v>
      </c>
      <c r="C3534" t="s">
        <v>3448</v>
      </c>
    </row>
    <row r="3535" spans="1:3" x14ac:dyDescent="0.25">
      <c r="A3535" t="str">
        <f>"0611833463100"</f>
        <v>0611833463100</v>
      </c>
      <c r="B3535" t="str">
        <f>"LF0021"</f>
        <v>LF0021</v>
      </c>
      <c r="C3535" t="s">
        <v>3449</v>
      </c>
    </row>
    <row r="3536" spans="1:3" x14ac:dyDescent="0.25">
      <c r="A3536" t="str">
        <f>"0611861521100"</f>
        <v>0611861521100</v>
      </c>
      <c r="B3536" t="str">
        <f>"CN2026"</f>
        <v>CN2026</v>
      </c>
      <c r="C3536" t="s">
        <v>3450</v>
      </c>
    </row>
    <row r="3537" spans="1:3" x14ac:dyDescent="0.25">
      <c r="A3537" t="str">
        <f>"0611861522100"</f>
        <v>0611861522100</v>
      </c>
      <c r="B3537" t="str">
        <f>"LF8537"</f>
        <v>LF8537</v>
      </c>
      <c r="C3537" t="s">
        <v>3451</v>
      </c>
    </row>
    <row r="3538" spans="1:3" x14ac:dyDescent="0.25">
      <c r="A3538" t="str">
        <f>"0611861523100"</f>
        <v>0611861523100</v>
      </c>
      <c r="B3538" t="str">
        <f>"CN2027"</f>
        <v>CN2027</v>
      </c>
      <c r="C3538" t="s">
        <v>3452</v>
      </c>
    </row>
    <row r="3539" spans="1:3" x14ac:dyDescent="0.25">
      <c r="A3539" t="str">
        <f>"0611833464100"</f>
        <v>0611833464100</v>
      </c>
      <c r="B3539" t="str">
        <f>"LH2950"</f>
        <v>LH2950</v>
      </c>
      <c r="C3539" t="s">
        <v>3453</v>
      </c>
    </row>
    <row r="3540" spans="1:3" x14ac:dyDescent="0.25">
      <c r="A3540" t="str">
        <f>"0611833465025"</f>
        <v>0611833465025</v>
      </c>
      <c r="B3540" t="str">
        <f>"MC0207"</f>
        <v>MC0207</v>
      </c>
      <c r="C3540" t="s">
        <v>3454</v>
      </c>
    </row>
    <row r="3541" spans="1:3" x14ac:dyDescent="0.25">
      <c r="A3541" t="str">
        <f>"0611833466100"</f>
        <v>0611833466100</v>
      </c>
      <c r="B3541" t="str">
        <f>"LG1440"</f>
        <v>LG1440</v>
      </c>
      <c r="C3541" t="s">
        <v>3455</v>
      </c>
    </row>
    <row r="3542" spans="1:3" x14ac:dyDescent="0.25">
      <c r="A3542" t="str">
        <f>"0611833467100"</f>
        <v>0611833467100</v>
      </c>
      <c r="B3542" t="str">
        <f>"LG1460"</f>
        <v>LG1460</v>
      </c>
      <c r="C3542" t="s">
        <v>3456</v>
      </c>
    </row>
    <row r="3543" spans="1:3" x14ac:dyDescent="0.25">
      <c r="A3543" t="str">
        <f>"0611861524050"</f>
        <v>0611861524050</v>
      </c>
      <c r="B3543" t="str">
        <f>"CR3323"</f>
        <v>CR3323</v>
      </c>
      <c r="C3543" t="s">
        <v>3457</v>
      </c>
    </row>
    <row r="3544" spans="1:3" x14ac:dyDescent="0.25">
      <c r="A3544" t="str">
        <f>"0611833468100"</f>
        <v>0611833468100</v>
      </c>
      <c r="B3544" t="str">
        <f>"LQ6079"</f>
        <v>LQ6079</v>
      </c>
      <c r="C3544" t="s">
        <v>3458</v>
      </c>
    </row>
    <row r="3545" spans="1:3" x14ac:dyDescent="0.25">
      <c r="A3545" t="str">
        <f>"0611833469100"</f>
        <v>0611833469100</v>
      </c>
      <c r="B3545" t="str">
        <f>"LG1461"</f>
        <v>LG1461</v>
      </c>
      <c r="C3545" t="s">
        <v>3459</v>
      </c>
    </row>
    <row r="3546" spans="1:3" x14ac:dyDescent="0.25">
      <c r="A3546" t="str">
        <f>"0611861525050"</f>
        <v>0611861525050</v>
      </c>
      <c r="B3546" t="str">
        <f>"CR5069"</f>
        <v>CR5069</v>
      </c>
      <c r="C3546" t="s">
        <v>3460</v>
      </c>
    </row>
    <row r="3547" spans="1:3" x14ac:dyDescent="0.25">
      <c r="A3547" t="str">
        <f>"0611833123100"</f>
        <v>0611833123100</v>
      </c>
      <c r="B3547" t="str">
        <f>"LF1410"</f>
        <v>LF1410</v>
      </c>
      <c r="C3547" t="s">
        <v>3461</v>
      </c>
    </row>
    <row r="3548" spans="1:3" x14ac:dyDescent="0.25">
      <c r="A3548" t="str">
        <f>"0611833125100"</f>
        <v>0611833125100</v>
      </c>
      <c r="B3548" t="str">
        <f>"LF1408"</f>
        <v>LF1408</v>
      </c>
      <c r="C3548" t="s">
        <v>3462</v>
      </c>
    </row>
    <row r="3549" spans="1:3" x14ac:dyDescent="0.25">
      <c r="A3549" t="str">
        <f>"0611856878100"</f>
        <v>0611856878100</v>
      </c>
      <c r="B3549" t="str">
        <f>"LF3490"</f>
        <v>LF3490</v>
      </c>
      <c r="C3549" t="s">
        <v>3463</v>
      </c>
    </row>
    <row r="3550" spans="1:3" x14ac:dyDescent="0.25">
      <c r="A3550" t="str">
        <f>"0611833472100"</f>
        <v>0611833472100</v>
      </c>
      <c r="B3550" t="str">
        <f>"LL1485"</f>
        <v>LL1485</v>
      </c>
      <c r="C3550" t="s">
        <v>3464</v>
      </c>
    </row>
    <row r="3551" spans="1:3" x14ac:dyDescent="0.25">
      <c r="A3551" t="str">
        <f>"0611833475100"</f>
        <v>0611833475100</v>
      </c>
      <c r="B3551" t="str">
        <f>"LL1468"</f>
        <v>LL1468</v>
      </c>
      <c r="C3551" t="s">
        <v>3465</v>
      </c>
    </row>
    <row r="3552" spans="1:3" x14ac:dyDescent="0.25">
      <c r="A3552" t="str">
        <f>"0611833478100"</f>
        <v>0611833478100</v>
      </c>
      <c r="B3552" t="str">
        <f>"LL0117"</f>
        <v>LL0117</v>
      </c>
      <c r="C3552" t="s">
        <v>3466</v>
      </c>
    </row>
    <row r="3553" spans="1:3" x14ac:dyDescent="0.25">
      <c r="A3553" t="str">
        <f>"0611833480100"</f>
        <v>0611833480100</v>
      </c>
      <c r="B3553" t="str">
        <f>"LL1469"</f>
        <v>LL1469</v>
      </c>
      <c r="C3553" t="s">
        <v>3467</v>
      </c>
    </row>
    <row r="3554" spans="1:3" x14ac:dyDescent="0.25">
      <c r="A3554" t="str">
        <f>"0611833482100"</f>
        <v>0611833482100</v>
      </c>
      <c r="B3554" t="str">
        <f>"LL1470"</f>
        <v>LL1470</v>
      </c>
      <c r="C3554" t="s">
        <v>3468</v>
      </c>
    </row>
    <row r="3555" spans="1:3" x14ac:dyDescent="0.25">
      <c r="A3555" t="str">
        <f>"0611833483200"</f>
        <v>0611833483200</v>
      </c>
      <c r="B3555" t="str">
        <f>"KY1470"</f>
        <v>KY1470</v>
      </c>
      <c r="C3555" t="s">
        <v>3469</v>
      </c>
    </row>
    <row r="3556" spans="1:3" x14ac:dyDescent="0.25">
      <c r="A3556" t="str">
        <f>"0611833484100"</f>
        <v>0611833484100</v>
      </c>
      <c r="B3556" t="str">
        <f>"LL1471"</f>
        <v>LL1471</v>
      </c>
      <c r="C3556" t="s">
        <v>3470</v>
      </c>
    </row>
    <row r="3557" spans="1:3" x14ac:dyDescent="0.25">
      <c r="A3557" t="str">
        <f>"0611833485100"</f>
        <v>0611833485100</v>
      </c>
      <c r="B3557" t="str">
        <f>"LL1472"</f>
        <v>LL1472</v>
      </c>
      <c r="C3557" t="s">
        <v>3471</v>
      </c>
    </row>
    <row r="3558" spans="1:3" x14ac:dyDescent="0.25">
      <c r="A3558" t="str">
        <f>"0611833486100"</f>
        <v>0611833486100</v>
      </c>
      <c r="B3558" t="str">
        <f>"LL8182"</f>
        <v>LL8182</v>
      </c>
      <c r="C3558" t="s">
        <v>3472</v>
      </c>
    </row>
    <row r="3559" spans="1:3" x14ac:dyDescent="0.25">
      <c r="A3559" t="str">
        <f>"0611833487100"</f>
        <v>0611833487100</v>
      </c>
      <c r="B3559" t="str">
        <f>"LL1489"</f>
        <v>LL1489</v>
      </c>
      <c r="C3559" t="s">
        <v>3473</v>
      </c>
    </row>
    <row r="3560" spans="1:3" x14ac:dyDescent="0.25">
      <c r="A3560" t="str">
        <f>"0611833488100"</f>
        <v>0611833488100</v>
      </c>
      <c r="B3560" t="str">
        <f>"LL1475"</f>
        <v>LL1475</v>
      </c>
      <c r="C3560" t="s">
        <v>3474</v>
      </c>
    </row>
    <row r="3561" spans="1:3" x14ac:dyDescent="0.25">
      <c r="A3561" t="str">
        <f>"0611833489200"</f>
        <v>0611833489200</v>
      </c>
      <c r="B3561" t="str">
        <f>"KY1475"</f>
        <v>KY1475</v>
      </c>
      <c r="C3561" t="s">
        <v>3475</v>
      </c>
    </row>
    <row r="3562" spans="1:3" x14ac:dyDescent="0.25">
      <c r="A3562" t="str">
        <f>"0611833490100"</f>
        <v>0611833490100</v>
      </c>
      <c r="B3562" t="str">
        <f>"LL1480"</f>
        <v>LL1480</v>
      </c>
      <c r="C3562" t="s">
        <v>3476</v>
      </c>
    </row>
    <row r="3563" spans="1:3" x14ac:dyDescent="0.25">
      <c r="A3563" t="str">
        <f>"0611833492100"</f>
        <v>0611833492100</v>
      </c>
      <c r="B3563" t="str">
        <f>"LL1667"</f>
        <v>LL1667</v>
      </c>
      <c r="C3563" t="s">
        <v>3477</v>
      </c>
    </row>
    <row r="3564" spans="1:3" x14ac:dyDescent="0.25">
      <c r="A3564" t="str">
        <f>"0611833495100"</f>
        <v>0611833495100</v>
      </c>
      <c r="B3564" t="str">
        <f>"LL1488"</f>
        <v>LL1488</v>
      </c>
      <c r="C3564" t="s">
        <v>3478</v>
      </c>
    </row>
    <row r="3565" spans="1:3" x14ac:dyDescent="0.25">
      <c r="A3565" t="str">
        <f>"0611833500100"</f>
        <v>0611833500100</v>
      </c>
      <c r="B3565" t="str">
        <f>"LL8183"</f>
        <v>LL8183</v>
      </c>
      <c r="C3565" t="s">
        <v>3479</v>
      </c>
    </row>
    <row r="3566" spans="1:3" x14ac:dyDescent="0.25">
      <c r="A3566" t="str">
        <f>"0611833502100"</f>
        <v>0611833502100</v>
      </c>
      <c r="B3566" t="str">
        <f>"LL1492"</f>
        <v>LL1492</v>
      </c>
      <c r="C3566" t="s">
        <v>3480</v>
      </c>
    </row>
    <row r="3567" spans="1:3" x14ac:dyDescent="0.25">
      <c r="A3567" t="str">
        <f>"0611833507100"</f>
        <v>0611833507100</v>
      </c>
      <c r="B3567" t="str">
        <f>"LL1494"</f>
        <v>LL1494</v>
      </c>
      <c r="C3567" t="s">
        <v>3481</v>
      </c>
    </row>
    <row r="3568" spans="1:3" x14ac:dyDescent="0.25">
      <c r="A3568" t="str">
        <f>"0611833510100"</f>
        <v>0611833510100</v>
      </c>
      <c r="B3568" t="str">
        <f>"LL1664"</f>
        <v>LL1664</v>
      </c>
      <c r="C3568" t="s">
        <v>3482</v>
      </c>
    </row>
    <row r="3569" spans="1:3" x14ac:dyDescent="0.25">
      <c r="A3569" t="str">
        <f>"0611833497100"</f>
        <v>0611833497100</v>
      </c>
      <c r="B3569" t="str">
        <f>"LL1490"</f>
        <v>LL1490</v>
      </c>
      <c r="C3569" t="s">
        <v>3484</v>
      </c>
    </row>
    <row r="3570" spans="1:3" x14ac:dyDescent="0.25">
      <c r="A3570" t="str">
        <f>"0611833498200"</f>
        <v>0611833498200</v>
      </c>
      <c r="B3570" t="str">
        <f>"KY1490"</f>
        <v>KY1490</v>
      </c>
      <c r="C3570" t="s">
        <v>3485</v>
      </c>
    </row>
    <row r="3571" spans="1:3" x14ac:dyDescent="0.25">
      <c r="A3571" t="str">
        <f>"0611833511100"</f>
        <v>0611833511100</v>
      </c>
      <c r="B3571" t="str">
        <f>"LL8306"</f>
        <v>LL8306</v>
      </c>
      <c r="C3571" t="s">
        <v>3483</v>
      </c>
    </row>
    <row r="3572" spans="1:3" x14ac:dyDescent="0.25">
      <c r="A3572" t="str">
        <f>"0611833513100"</f>
        <v>0611833513100</v>
      </c>
      <c r="B3572" t="str">
        <f>"LL0056"</f>
        <v>LL0056</v>
      </c>
      <c r="C3572" t="s">
        <v>3486</v>
      </c>
    </row>
    <row r="3573" spans="1:3" x14ac:dyDescent="0.25">
      <c r="A3573" t="str">
        <f>"0611833515100"</f>
        <v>0611833515100</v>
      </c>
      <c r="B3573" t="str">
        <f>"LL1486"</f>
        <v>LL1486</v>
      </c>
      <c r="C3573" t="s">
        <v>3487</v>
      </c>
    </row>
    <row r="3574" spans="1:3" x14ac:dyDescent="0.25">
      <c r="A3574" t="str">
        <f>"0611833520100"</f>
        <v>0611833520100</v>
      </c>
      <c r="B3574" t="str">
        <f>"LL1500"</f>
        <v>LL1500</v>
      </c>
      <c r="C3574" t="s">
        <v>3488</v>
      </c>
    </row>
    <row r="3575" spans="1:3" x14ac:dyDescent="0.25">
      <c r="A3575" t="str">
        <f>"0611833522100"</f>
        <v>0611833522100</v>
      </c>
      <c r="B3575" t="str">
        <f>"LL1555"</f>
        <v>LL1555</v>
      </c>
      <c r="C3575" t="s">
        <v>3489</v>
      </c>
    </row>
    <row r="3576" spans="1:3" x14ac:dyDescent="0.25">
      <c r="A3576" t="str">
        <f>"0611906720025"</f>
        <v>0611906720025</v>
      </c>
      <c r="B3576" t="str">
        <f>"MC4548"</f>
        <v>MC4548</v>
      </c>
      <c r="C3576" t="s">
        <v>3523</v>
      </c>
    </row>
    <row r="3577" spans="1:3" x14ac:dyDescent="0.25">
      <c r="A3577" t="str">
        <f>"0611833524100"</f>
        <v>0611833524100</v>
      </c>
      <c r="B3577" t="str">
        <f>"LL1560"</f>
        <v>LL1560</v>
      </c>
      <c r="C3577" t="s">
        <v>3490</v>
      </c>
    </row>
    <row r="3578" spans="1:3" x14ac:dyDescent="0.25">
      <c r="A3578" t="str">
        <f>"0611833526100"</f>
        <v>0611833526100</v>
      </c>
      <c r="B3578" t="str">
        <f>"LL1585"</f>
        <v>LL1585</v>
      </c>
      <c r="C3578" t="s">
        <v>3491</v>
      </c>
    </row>
    <row r="3579" spans="1:3" x14ac:dyDescent="0.25">
      <c r="A3579" t="str">
        <f>"0611833527200"</f>
        <v>0611833527200</v>
      </c>
      <c r="B3579" t="str">
        <f>"KY1585"</f>
        <v>KY1585</v>
      </c>
      <c r="C3579" t="s">
        <v>3492</v>
      </c>
    </row>
    <row r="3580" spans="1:3" x14ac:dyDescent="0.25">
      <c r="A3580" t="str">
        <f>"0611833528100"</f>
        <v>0611833528100</v>
      </c>
      <c r="B3580" t="str">
        <f>"LL1586"</f>
        <v>LL1586</v>
      </c>
      <c r="C3580" t="s">
        <v>3493</v>
      </c>
    </row>
    <row r="3581" spans="1:3" x14ac:dyDescent="0.25">
      <c r="A3581" t="str">
        <f>"0611833529100"</f>
        <v>0611833529100</v>
      </c>
      <c r="B3581" t="str">
        <f>"LL8307"</f>
        <v>LL8307</v>
      </c>
      <c r="C3581" t="s">
        <v>3494</v>
      </c>
    </row>
    <row r="3582" spans="1:3" x14ac:dyDescent="0.25">
      <c r="A3582" t="str">
        <f>"0611884145100"</f>
        <v>0611884145100</v>
      </c>
      <c r="B3582" t="str">
        <f>"LL5061"</f>
        <v>LL5061</v>
      </c>
      <c r="C3582" t="s">
        <v>3521</v>
      </c>
    </row>
    <row r="3583" spans="1:3" x14ac:dyDescent="0.25">
      <c r="A3583" t="str">
        <f>"0611833532100"</f>
        <v>0611833532100</v>
      </c>
      <c r="B3583" t="str">
        <f>"LL1501"</f>
        <v>LL1501</v>
      </c>
      <c r="C3583" t="s">
        <v>3495</v>
      </c>
    </row>
    <row r="3584" spans="1:3" x14ac:dyDescent="0.25">
      <c r="A3584" t="str">
        <f>"0611833533100"</f>
        <v>0611833533100</v>
      </c>
      <c r="B3584" t="str">
        <f>"LL8137"</f>
        <v>LL8137</v>
      </c>
      <c r="C3584" t="s">
        <v>3496</v>
      </c>
    </row>
    <row r="3585" spans="1:3" x14ac:dyDescent="0.25">
      <c r="A3585" t="str">
        <f>"0611833536100"</f>
        <v>0611833536100</v>
      </c>
      <c r="B3585" t="str">
        <f>"LL1603"</f>
        <v>LL1603</v>
      </c>
      <c r="C3585" t="s">
        <v>3498</v>
      </c>
    </row>
    <row r="3586" spans="1:3" x14ac:dyDescent="0.25">
      <c r="A3586" t="str">
        <f>"0611833537100"</f>
        <v>0611833537100</v>
      </c>
      <c r="B3586" t="str">
        <f>"LL1691"</f>
        <v>LL1691</v>
      </c>
      <c r="C3586" t="s">
        <v>3499</v>
      </c>
    </row>
    <row r="3587" spans="1:3" x14ac:dyDescent="0.25">
      <c r="A3587" t="str">
        <f>"0611833538100"</f>
        <v>0611833538100</v>
      </c>
      <c r="B3587" t="str">
        <f>"LL8037"</f>
        <v>LL8037</v>
      </c>
      <c r="C3587" t="s">
        <v>3497</v>
      </c>
    </row>
    <row r="3588" spans="1:3" x14ac:dyDescent="0.25">
      <c r="A3588" t="str">
        <f>"0611833539100"</f>
        <v>0611833539100</v>
      </c>
      <c r="B3588" t="str">
        <f>"LL8138"</f>
        <v>LL8138</v>
      </c>
      <c r="C3588" t="s">
        <v>3500</v>
      </c>
    </row>
    <row r="3589" spans="1:3" x14ac:dyDescent="0.25">
      <c r="A3589" t="str">
        <f>"0611833540100"</f>
        <v>0611833540100</v>
      </c>
      <c r="B3589" t="str">
        <f>"LL1610"</f>
        <v>LL1610</v>
      </c>
      <c r="C3589" t="s">
        <v>3501</v>
      </c>
    </row>
    <row r="3590" spans="1:3" x14ac:dyDescent="0.25">
      <c r="A3590" t="str">
        <f>"0611833541200"</f>
        <v>0611833541200</v>
      </c>
      <c r="B3590" t="str">
        <f>"KY1610"</f>
        <v>KY1610</v>
      </c>
      <c r="C3590" t="s">
        <v>3502</v>
      </c>
    </row>
    <row r="3591" spans="1:3" x14ac:dyDescent="0.25">
      <c r="A3591" t="str">
        <f>"0611833542100"</f>
        <v>0611833542100</v>
      </c>
      <c r="B3591" t="str">
        <f>"LL1612"</f>
        <v>LL1612</v>
      </c>
      <c r="C3591" t="s">
        <v>3503</v>
      </c>
    </row>
    <row r="3592" spans="1:3" x14ac:dyDescent="0.25">
      <c r="A3592" t="str">
        <f>"0611884146100"</f>
        <v>0611884146100</v>
      </c>
      <c r="B3592" t="str">
        <f>"LL5062"</f>
        <v>LL5062</v>
      </c>
      <c r="C3592" t="s">
        <v>3522</v>
      </c>
    </row>
    <row r="3593" spans="1:3" x14ac:dyDescent="0.25">
      <c r="A3593" t="str">
        <f>"0611833545100"</f>
        <v>0611833545100</v>
      </c>
      <c r="B3593" t="str">
        <f>"LL1615"</f>
        <v>LL1615</v>
      </c>
      <c r="C3593" t="s">
        <v>3504</v>
      </c>
    </row>
    <row r="3594" spans="1:3" x14ac:dyDescent="0.25">
      <c r="A3594" t="str">
        <f>"0611833546100"</f>
        <v>0611833546100</v>
      </c>
      <c r="B3594" t="str">
        <f>"LL1632"</f>
        <v>LL1632</v>
      </c>
      <c r="C3594" t="s">
        <v>3505</v>
      </c>
    </row>
    <row r="3595" spans="1:3" x14ac:dyDescent="0.25">
      <c r="A3595" t="str">
        <f>"0611833471100"</f>
        <v>0611833471100</v>
      </c>
      <c r="B3595" t="str">
        <f>"LL4868"</f>
        <v>LL4868</v>
      </c>
      <c r="C3595" t="s">
        <v>3507</v>
      </c>
    </row>
    <row r="3596" spans="1:3" x14ac:dyDescent="0.25">
      <c r="A3596" t="str">
        <f>"0611833547100"</f>
        <v>0611833547100</v>
      </c>
      <c r="B3596" t="str">
        <f>"LL8139"</f>
        <v>LL8139</v>
      </c>
      <c r="C3596" t="s">
        <v>3506</v>
      </c>
    </row>
    <row r="3597" spans="1:3" x14ac:dyDescent="0.25">
      <c r="A3597" t="str">
        <f>"0611833548100"</f>
        <v>0611833548100</v>
      </c>
      <c r="B3597" t="str">
        <f>"LL1640"</f>
        <v>LL1640</v>
      </c>
      <c r="C3597" t="s">
        <v>3508</v>
      </c>
    </row>
    <row r="3598" spans="1:3" x14ac:dyDescent="0.25">
      <c r="A3598" t="str">
        <f>"0611833549100"</f>
        <v>0611833549100</v>
      </c>
      <c r="B3598" t="str">
        <f>"LL1642"</f>
        <v>LL1642</v>
      </c>
      <c r="C3598" t="s">
        <v>3509</v>
      </c>
    </row>
    <row r="3599" spans="1:3" x14ac:dyDescent="0.25">
      <c r="A3599" t="str">
        <f>"0611833550200"</f>
        <v>0611833550200</v>
      </c>
      <c r="B3599" t="str">
        <f>"KY1642"</f>
        <v>KY1642</v>
      </c>
      <c r="C3599" t="s">
        <v>3510</v>
      </c>
    </row>
    <row r="3600" spans="1:3" x14ac:dyDescent="0.25">
      <c r="A3600" t="str">
        <f>"0611833551100"</f>
        <v>0611833551100</v>
      </c>
      <c r="B3600" t="str">
        <f>"LL1491"</f>
        <v>LL1491</v>
      </c>
      <c r="C3600" t="s">
        <v>3511</v>
      </c>
    </row>
    <row r="3601" spans="1:3" x14ac:dyDescent="0.25">
      <c r="A3601" t="str">
        <f>"0611833552100"</f>
        <v>0611833552100</v>
      </c>
      <c r="B3601" t="str">
        <f>"LL1484"</f>
        <v>LL1484</v>
      </c>
      <c r="C3601" t="s">
        <v>3512</v>
      </c>
    </row>
    <row r="3602" spans="1:3" x14ac:dyDescent="0.25">
      <c r="A3602" t="str">
        <f>"0611833554100"</f>
        <v>0611833554100</v>
      </c>
      <c r="B3602" t="str">
        <f>"LL8187"</f>
        <v>LL8187</v>
      </c>
      <c r="C3602" t="s">
        <v>3513</v>
      </c>
    </row>
    <row r="3603" spans="1:3" x14ac:dyDescent="0.25">
      <c r="A3603" t="str">
        <f>"0611833556100"</f>
        <v>0611833556100</v>
      </c>
      <c r="B3603" t="str">
        <f>"LL1650"</f>
        <v>LL1650</v>
      </c>
      <c r="C3603" t="s">
        <v>3514</v>
      </c>
    </row>
    <row r="3604" spans="1:3" x14ac:dyDescent="0.25">
      <c r="A3604" t="str">
        <f>"0611833557100"</f>
        <v>0611833557100</v>
      </c>
      <c r="B3604" t="str">
        <f>"LL1655"</f>
        <v>LL1655</v>
      </c>
      <c r="C3604" t="s">
        <v>3515</v>
      </c>
    </row>
    <row r="3605" spans="1:3" x14ac:dyDescent="0.25">
      <c r="A3605" t="str">
        <f>"0611833558100"</f>
        <v>0611833558100</v>
      </c>
      <c r="B3605" t="str">
        <f>"LL1498"</f>
        <v>LL1498</v>
      </c>
      <c r="C3605" t="s">
        <v>3516</v>
      </c>
    </row>
    <row r="3606" spans="1:3" x14ac:dyDescent="0.25">
      <c r="A3606" t="str">
        <f>"0611833559100"</f>
        <v>0611833559100</v>
      </c>
      <c r="B3606" t="str">
        <f>"LL1666"</f>
        <v>LL1666</v>
      </c>
      <c r="C3606" t="s">
        <v>3517</v>
      </c>
    </row>
    <row r="3607" spans="1:3" x14ac:dyDescent="0.25">
      <c r="A3607" t="str">
        <f>"0611833560100"</f>
        <v>0611833560100</v>
      </c>
      <c r="B3607" t="str">
        <f>"LL0157"</f>
        <v>LL0157</v>
      </c>
      <c r="C3607" t="s">
        <v>3518</v>
      </c>
    </row>
    <row r="3608" spans="1:3" x14ac:dyDescent="0.25">
      <c r="A3608" t="str">
        <f>"0611833562100"</f>
        <v>0611833562100</v>
      </c>
      <c r="B3608" t="str">
        <f>"LL1690"</f>
        <v>LL1690</v>
      </c>
      <c r="C3608" t="s">
        <v>3519</v>
      </c>
    </row>
    <row r="3609" spans="1:3" x14ac:dyDescent="0.25">
      <c r="A3609" t="str">
        <f>"0611833563100"</f>
        <v>0611833563100</v>
      </c>
      <c r="B3609" t="str">
        <f>"LL0118"</f>
        <v>LL0118</v>
      </c>
      <c r="C3609" t="s">
        <v>3520</v>
      </c>
    </row>
    <row r="3610" spans="1:3" x14ac:dyDescent="0.25">
      <c r="A3610" t="str">
        <f>"0611833615100"</f>
        <v>0611833615100</v>
      </c>
      <c r="B3610" t="str">
        <f>"LC6050"</f>
        <v>LC6050</v>
      </c>
      <c r="C3610" t="s">
        <v>3526</v>
      </c>
    </row>
    <row r="3611" spans="1:3" x14ac:dyDescent="0.25">
      <c r="A3611" t="str">
        <f>"0611833616100"</f>
        <v>0611833616100</v>
      </c>
      <c r="B3611" t="str">
        <f>"LB2366"</f>
        <v>LB2366</v>
      </c>
      <c r="C3611" t="s">
        <v>3527</v>
      </c>
    </row>
    <row r="3612" spans="1:3" x14ac:dyDescent="0.25">
      <c r="A3612" t="str">
        <f>"0611833617100"</f>
        <v>0611833617100</v>
      </c>
      <c r="B3612" t="str">
        <f>"LK1092"</f>
        <v>LK1092</v>
      </c>
      <c r="C3612" t="s">
        <v>3528</v>
      </c>
    </row>
    <row r="3613" spans="1:3" x14ac:dyDescent="0.25">
      <c r="A3613" t="str">
        <f>"0611861526050"</f>
        <v>0611861526050</v>
      </c>
      <c r="B3613" t="str">
        <f>"CR4815"</f>
        <v>CR4815</v>
      </c>
      <c r="C3613" t="s">
        <v>3529</v>
      </c>
    </row>
    <row r="3614" spans="1:3" x14ac:dyDescent="0.25">
      <c r="A3614" t="str">
        <f>"0611833618100"</f>
        <v>0611833618100</v>
      </c>
      <c r="B3614" t="str">
        <f>"LB2367"</f>
        <v>LB2367</v>
      </c>
      <c r="C3614" t="s">
        <v>3530</v>
      </c>
    </row>
    <row r="3615" spans="1:3" x14ac:dyDescent="0.25">
      <c r="A3615" t="str">
        <f>"0611856879100"</f>
        <v>0611856879100</v>
      </c>
      <c r="B3615" t="str">
        <f>"LQ6265"</f>
        <v>LQ6265</v>
      </c>
      <c r="C3615" t="s">
        <v>3531</v>
      </c>
    </row>
    <row r="3616" spans="1:3" x14ac:dyDescent="0.25">
      <c r="A3616" t="str">
        <f>"0611856880100"</f>
        <v>0611856880100</v>
      </c>
      <c r="B3616" t="str">
        <f>"LQ6266"</f>
        <v>LQ6266</v>
      </c>
      <c r="C3616" t="s">
        <v>3532</v>
      </c>
    </row>
    <row r="3617" spans="1:3" x14ac:dyDescent="0.25">
      <c r="A3617" t="str">
        <f>"0611884149100"</f>
        <v>0611884149100</v>
      </c>
      <c r="B3617" t="str">
        <f>"LQ3912"</f>
        <v>LQ3912</v>
      </c>
      <c r="C3617" t="s">
        <v>3533</v>
      </c>
    </row>
    <row r="3618" spans="1:3" x14ac:dyDescent="0.25">
      <c r="A3618" t="str">
        <f>"0611861527050"</f>
        <v>0611861527050</v>
      </c>
      <c r="B3618" t="str">
        <f>"CE0416"</f>
        <v>CE0416</v>
      </c>
      <c r="C3618" t="s">
        <v>3534</v>
      </c>
    </row>
    <row r="3619" spans="1:3" x14ac:dyDescent="0.25">
      <c r="A3619" t="str">
        <f>"0611833619100"</f>
        <v>0611833619100</v>
      </c>
      <c r="B3619" t="str">
        <f>"LQ5697"</f>
        <v>LQ5697</v>
      </c>
      <c r="C3619" t="s">
        <v>3535</v>
      </c>
    </row>
    <row r="3620" spans="1:3" x14ac:dyDescent="0.25">
      <c r="A3620" t="str">
        <f>"0611833620100"</f>
        <v>0611833620100</v>
      </c>
      <c r="B3620" t="str">
        <f>"LQ5698"</f>
        <v>LQ5698</v>
      </c>
      <c r="C3620" t="s">
        <v>3536</v>
      </c>
    </row>
    <row r="3621" spans="1:3" x14ac:dyDescent="0.25">
      <c r="A3621" t="str">
        <f>"0611833621100"</f>
        <v>0611833621100</v>
      </c>
      <c r="B3621" t="str">
        <f>"LB2369"</f>
        <v>LB2369</v>
      </c>
      <c r="C3621" t="s">
        <v>3537</v>
      </c>
    </row>
    <row r="3622" spans="1:3" x14ac:dyDescent="0.25">
      <c r="A3622" t="str">
        <f>"0611833622100"</f>
        <v>0611833622100</v>
      </c>
      <c r="B3622" t="str">
        <f>"LK0697"</f>
        <v>LK0697</v>
      </c>
      <c r="C3622" t="s">
        <v>3538</v>
      </c>
    </row>
    <row r="3623" spans="1:3" x14ac:dyDescent="0.25">
      <c r="A3623" t="str">
        <f>"0611833623100"</f>
        <v>0611833623100</v>
      </c>
      <c r="B3623" t="str">
        <f>"LQ3689"</f>
        <v>LQ3689</v>
      </c>
      <c r="C3623" t="s">
        <v>3539</v>
      </c>
    </row>
    <row r="3624" spans="1:3" x14ac:dyDescent="0.25">
      <c r="A3624" t="str">
        <f>"0611861528050"</f>
        <v>0611861528050</v>
      </c>
      <c r="B3624" t="str">
        <f>"CR4957"</f>
        <v>CR4957</v>
      </c>
      <c r="C3624" t="s">
        <v>3540</v>
      </c>
    </row>
    <row r="3625" spans="1:3" x14ac:dyDescent="0.25">
      <c r="A3625" t="str">
        <f>"0611833624100"</f>
        <v>0611833624100</v>
      </c>
      <c r="B3625" t="str">
        <f>"LQ3401"</f>
        <v>LQ3401</v>
      </c>
      <c r="C3625" t="s">
        <v>3541</v>
      </c>
    </row>
    <row r="3626" spans="1:3" x14ac:dyDescent="0.25">
      <c r="A3626" t="str">
        <f>"0611861529050"</f>
        <v>0611861529050</v>
      </c>
      <c r="B3626" t="str">
        <f>"CR3516"</f>
        <v>CR3516</v>
      </c>
      <c r="C3626" t="s">
        <v>3542</v>
      </c>
    </row>
    <row r="3627" spans="1:3" x14ac:dyDescent="0.25">
      <c r="A3627" t="str">
        <f>"0611833625100"</f>
        <v>0611833625100</v>
      </c>
      <c r="B3627" t="str">
        <f>"LQ3403"</f>
        <v>LQ3403</v>
      </c>
      <c r="C3627" t="s">
        <v>3543</v>
      </c>
    </row>
    <row r="3628" spans="1:3" x14ac:dyDescent="0.25">
      <c r="A3628" t="str">
        <f>"0611861530050"</f>
        <v>0611861530050</v>
      </c>
      <c r="B3628" t="str">
        <f>"CR3517"</f>
        <v>CR3517</v>
      </c>
      <c r="C3628" t="s">
        <v>3544</v>
      </c>
    </row>
    <row r="3629" spans="1:3" x14ac:dyDescent="0.25">
      <c r="A3629" t="str">
        <f>"0611833626100"</f>
        <v>0611833626100</v>
      </c>
      <c r="B3629" t="str">
        <f>"LQ3521"</f>
        <v>LQ3521</v>
      </c>
      <c r="C3629" t="s">
        <v>3545</v>
      </c>
    </row>
    <row r="3630" spans="1:3" x14ac:dyDescent="0.25">
      <c r="A3630" t="str">
        <f>"0611861531050"</f>
        <v>0611861531050</v>
      </c>
      <c r="B3630" t="str">
        <f>"CR3518"</f>
        <v>CR3518</v>
      </c>
      <c r="C3630" t="s">
        <v>3546</v>
      </c>
    </row>
    <row r="3631" spans="1:3" x14ac:dyDescent="0.25">
      <c r="A3631" t="str">
        <f>"0611833627100"</f>
        <v>0611833627100</v>
      </c>
      <c r="B3631" t="str">
        <f>"LQ3406"</f>
        <v>LQ3406</v>
      </c>
      <c r="C3631" t="s">
        <v>3547</v>
      </c>
    </row>
    <row r="3632" spans="1:3" x14ac:dyDescent="0.25">
      <c r="A3632" t="str">
        <f>"0611861532050"</f>
        <v>0611861532050</v>
      </c>
      <c r="B3632" t="str">
        <f>"CR3519"</f>
        <v>CR3519</v>
      </c>
      <c r="C3632" t="s">
        <v>3548</v>
      </c>
    </row>
    <row r="3633" spans="1:3" x14ac:dyDescent="0.25">
      <c r="A3633" t="str">
        <f>"0611833628100"</f>
        <v>0611833628100</v>
      </c>
      <c r="B3633" t="str">
        <f>"LQ3800"</f>
        <v>LQ3800</v>
      </c>
      <c r="C3633" t="s">
        <v>3549</v>
      </c>
    </row>
    <row r="3634" spans="1:3" x14ac:dyDescent="0.25">
      <c r="A3634" t="str">
        <f>"0611861533050"</f>
        <v>0611861533050</v>
      </c>
      <c r="B3634" t="str">
        <f>"CR4814"</f>
        <v>CR4814</v>
      </c>
      <c r="C3634" t="s">
        <v>3550</v>
      </c>
    </row>
    <row r="3635" spans="1:3" x14ac:dyDescent="0.25">
      <c r="A3635" t="str">
        <f>"0611861534050"</f>
        <v>0611861534050</v>
      </c>
      <c r="B3635" t="str">
        <f>"CR2154"</f>
        <v>CR2154</v>
      </c>
      <c r="C3635" t="s">
        <v>3551</v>
      </c>
    </row>
    <row r="3636" spans="1:3" x14ac:dyDescent="0.25">
      <c r="A3636" t="str">
        <f>"0611833629100"</f>
        <v>0611833629100</v>
      </c>
      <c r="B3636" t="str">
        <f>"LB2362"</f>
        <v>LB2362</v>
      </c>
      <c r="C3636" t="s">
        <v>3552</v>
      </c>
    </row>
    <row r="3637" spans="1:3" x14ac:dyDescent="0.25">
      <c r="A3637" t="str">
        <f>"0611833630100"</f>
        <v>0611833630100</v>
      </c>
      <c r="B3637" t="str">
        <f>"LK1850"</f>
        <v>LK1850</v>
      </c>
      <c r="C3637" t="s">
        <v>3553</v>
      </c>
    </row>
    <row r="3638" spans="1:3" x14ac:dyDescent="0.25">
      <c r="A3638" t="str">
        <f>"0611861535050"</f>
        <v>0611861535050</v>
      </c>
      <c r="B3638" t="str">
        <f>"CR3210"</f>
        <v>CR3210</v>
      </c>
      <c r="C3638" t="s">
        <v>3554</v>
      </c>
    </row>
    <row r="3639" spans="1:3" x14ac:dyDescent="0.25">
      <c r="A3639" t="str">
        <f>"0611861536050"</f>
        <v>0611861536050</v>
      </c>
      <c r="B3639" t="str">
        <f>"CR3520"</f>
        <v>CR3520</v>
      </c>
      <c r="C3639" t="s">
        <v>3555</v>
      </c>
    </row>
    <row r="3640" spans="1:3" x14ac:dyDescent="0.25">
      <c r="A3640" t="str">
        <f>"0611833632100"</f>
        <v>0611833632100</v>
      </c>
      <c r="B3640" t="str">
        <f>"LS0016"</f>
        <v>LS0016</v>
      </c>
      <c r="C3640" t="s">
        <v>3556</v>
      </c>
    </row>
    <row r="3641" spans="1:3" x14ac:dyDescent="0.25">
      <c r="A3641" t="str">
        <f>"0611833631025"</f>
        <v>0611833631025</v>
      </c>
      <c r="B3641" t="str">
        <f>"MC1425"</f>
        <v>MC1425</v>
      </c>
      <c r="C3641" t="s">
        <v>3557</v>
      </c>
    </row>
    <row r="3642" spans="1:3" x14ac:dyDescent="0.25">
      <c r="A3642" t="str">
        <f>"0611833633100"</f>
        <v>0611833633100</v>
      </c>
      <c r="B3642" t="str">
        <f>"LK1213"</f>
        <v>LK1213</v>
      </c>
      <c r="C3642" t="s">
        <v>3558</v>
      </c>
    </row>
    <row r="3643" spans="1:3" x14ac:dyDescent="0.25">
      <c r="A3643" t="str">
        <f>"0611833634100"</f>
        <v>0611833634100</v>
      </c>
      <c r="B3643" t="str">
        <f>"LK6776"</f>
        <v>LK6776</v>
      </c>
      <c r="C3643" t="s">
        <v>3559</v>
      </c>
    </row>
    <row r="3644" spans="1:3" x14ac:dyDescent="0.25">
      <c r="A3644" t="str">
        <f>"0611833635100"</f>
        <v>0611833635100</v>
      </c>
      <c r="B3644" t="str">
        <f>"LK2538"</f>
        <v>LK2538</v>
      </c>
      <c r="C3644" t="s">
        <v>3560</v>
      </c>
    </row>
    <row r="3645" spans="1:3" x14ac:dyDescent="0.25">
      <c r="A3645" t="str">
        <f>"0611833636100"</f>
        <v>0611833636100</v>
      </c>
      <c r="B3645" t="str">
        <f>"LK5456"</f>
        <v>LK5456</v>
      </c>
      <c r="C3645" t="s">
        <v>3561</v>
      </c>
    </row>
    <row r="3646" spans="1:3" x14ac:dyDescent="0.25">
      <c r="A3646" t="str">
        <f>"0611884150100"</f>
        <v>0611884150100</v>
      </c>
      <c r="B3646" t="str">
        <f>"LK7131"</f>
        <v>LK7131</v>
      </c>
      <c r="C3646" t="s">
        <v>3562</v>
      </c>
    </row>
    <row r="3647" spans="1:3" x14ac:dyDescent="0.25">
      <c r="A3647" t="str">
        <f>"0611884151100"</f>
        <v>0611884151100</v>
      </c>
      <c r="B3647" t="str">
        <f>"LK7132"</f>
        <v>LK7132</v>
      </c>
      <c r="C3647" t="s">
        <v>3563</v>
      </c>
    </row>
    <row r="3648" spans="1:3" x14ac:dyDescent="0.25">
      <c r="A3648" t="str">
        <f>"0611884152100"</f>
        <v>0611884152100</v>
      </c>
      <c r="B3648" t="str">
        <f>"LK7133"</f>
        <v>LK7133</v>
      </c>
      <c r="C3648" t="s">
        <v>3564</v>
      </c>
    </row>
    <row r="3649" spans="1:3" x14ac:dyDescent="0.25">
      <c r="A3649" t="str">
        <f>"0611861537050"</f>
        <v>0611861537050</v>
      </c>
      <c r="B3649" t="str">
        <f>"CR3264"</f>
        <v>CR3264</v>
      </c>
      <c r="C3649" t="s">
        <v>3565</v>
      </c>
    </row>
    <row r="3650" spans="1:3" x14ac:dyDescent="0.25">
      <c r="A3650" t="str">
        <f>"0611833637100"</f>
        <v>0611833637100</v>
      </c>
      <c r="B3650" t="str">
        <f>"LB2363"</f>
        <v>LB2363</v>
      </c>
      <c r="C3650" t="s">
        <v>3566</v>
      </c>
    </row>
    <row r="3651" spans="1:3" x14ac:dyDescent="0.25">
      <c r="A3651" t="str">
        <f>"0611833639100"</f>
        <v>0611833639100</v>
      </c>
      <c r="B3651" t="str">
        <f>"LG1650"</f>
        <v>LG1650</v>
      </c>
      <c r="C3651" t="s">
        <v>3567</v>
      </c>
    </row>
    <row r="3652" spans="1:3" x14ac:dyDescent="0.25">
      <c r="A3652" t="str">
        <f>"0611833641100"</f>
        <v>0611833641100</v>
      </c>
      <c r="B3652" t="str">
        <f>"LG1769"</f>
        <v>LG1769</v>
      </c>
      <c r="C3652" t="s">
        <v>3568</v>
      </c>
    </row>
    <row r="3653" spans="1:3" x14ac:dyDescent="0.25">
      <c r="A3653" t="str">
        <f>"0611833642100"</f>
        <v>0611833642100</v>
      </c>
      <c r="B3653" t="str">
        <f>"LK0052"</f>
        <v>LK0052</v>
      </c>
      <c r="C3653" t="s">
        <v>3569</v>
      </c>
    </row>
    <row r="3654" spans="1:3" x14ac:dyDescent="0.25">
      <c r="A3654" t="str">
        <f>"0611833643100"</f>
        <v>0611833643100</v>
      </c>
      <c r="B3654" t="str">
        <f>"LG1771"</f>
        <v>LG1771</v>
      </c>
      <c r="C3654" t="s">
        <v>3570</v>
      </c>
    </row>
    <row r="3655" spans="1:3" x14ac:dyDescent="0.25">
      <c r="A3655" t="str">
        <f>"0611833647100"</f>
        <v>0611833647100</v>
      </c>
      <c r="B3655" t="str">
        <f>"LG1776"</f>
        <v>LG1776</v>
      </c>
      <c r="C3655" t="s">
        <v>3571</v>
      </c>
    </row>
    <row r="3656" spans="1:3" x14ac:dyDescent="0.25">
      <c r="A3656" t="str">
        <f>"0611833648100"</f>
        <v>0611833648100</v>
      </c>
      <c r="B3656" t="str">
        <f>"LH8829"</f>
        <v>LH8829</v>
      </c>
      <c r="C3656" t="s">
        <v>3572</v>
      </c>
    </row>
    <row r="3657" spans="1:3" x14ac:dyDescent="0.25">
      <c r="A3657" t="str">
        <f>"0611833649025"</f>
        <v>0611833649025</v>
      </c>
      <c r="B3657" t="str">
        <f>"MC2716"</f>
        <v>MC2716</v>
      </c>
      <c r="C3657" t="s">
        <v>3573</v>
      </c>
    </row>
    <row r="3658" spans="1:3" x14ac:dyDescent="0.25">
      <c r="A3658" t="str">
        <f>"0611906721100"</f>
        <v>0611906721100</v>
      </c>
      <c r="B3658" t="str">
        <f>"LK7258"</f>
        <v>LK7258</v>
      </c>
      <c r="C3658" t="s">
        <v>3578</v>
      </c>
    </row>
    <row r="3659" spans="1:3" x14ac:dyDescent="0.25">
      <c r="A3659" t="str">
        <f>"0611833653100"</f>
        <v>0611833653100</v>
      </c>
      <c r="B3659" t="str">
        <f>"LK4657"</f>
        <v>LK4657</v>
      </c>
      <c r="C3659" t="s">
        <v>3579</v>
      </c>
    </row>
    <row r="3660" spans="1:3" x14ac:dyDescent="0.25">
      <c r="A3660" t="str">
        <f>"0611833654100"</f>
        <v>0611833654100</v>
      </c>
      <c r="B3660" t="str">
        <f>"LK6335"</f>
        <v>LK6335</v>
      </c>
      <c r="C3660" t="s">
        <v>3580</v>
      </c>
    </row>
    <row r="3661" spans="1:3" x14ac:dyDescent="0.25">
      <c r="A3661" t="str">
        <f>"0611833655100"</f>
        <v>0611833655100</v>
      </c>
      <c r="B3661" t="str">
        <f>"LK3705"</f>
        <v>LK3705</v>
      </c>
      <c r="C3661" t="s">
        <v>3581</v>
      </c>
    </row>
    <row r="3662" spans="1:3" x14ac:dyDescent="0.25">
      <c r="A3662" t="str">
        <f>"0611833656100"</f>
        <v>0611833656100</v>
      </c>
      <c r="B3662" t="str">
        <f>"LH3003"</f>
        <v>LH3003</v>
      </c>
      <c r="C3662" t="s">
        <v>3582</v>
      </c>
    </row>
    <row r="3663" spans="1:3" x14ac:dyDescent="0.25">
      <c r="A3663" t="str">
        <f>"0611833657100"</f>
        <v>0611833657100</v>
      </c>
      <c r="B3663" t="str">
        <f>"LC8610"</f>
        <v>LC8610</v>
      </c>
      <c r="C3663" t="s">
        <v>3583</v>
      </c>
    </row>
    <row r="3664" spans="1:3" x14ac:dyDescent="0.25">
      <c r="A3664" t="str">
        <f>"0611836880100"</f>
        <v>0611836880100</v>
      </c>
      <c r="B3664" t="str">
        <f>"LG1900"</f>
        <v>LG1900</v>
      </c>
      <c r="C3664" t="s">
        <v>3584</v>
      </c>
    </row>
    <row r="3665" spans="1:3" x14ac:dyDescent="0.25">
      <c r="A3665" t="str">
        <f>"0611836881100"</f>
        <v>0611836881100</v>
      </c>
      <c r="B3665" t="str">
        <f>"LG4900"</f>
        <v>LG4900</v>
      </c>
      <c r="C3665" t="s">
        <v>3585</v>
      </c>
    </row>
    <row r="3666" spans="1:3" x14ac:dyDescent="0.25">
      <c r="A3666" t="str">
        <f>"0611836882100"</f>
        <v>0611836882100</v>
      </c>
      <c r="B3666" t="str">
        <f>"LG1905"</f>
        <v>LG1905</v>
      </c>
      <c r="C3666" t="s">
        <v>3586</v>
      </c>
    </row>
    <row r="3667" spans="1:3" x14ac:dyDescent="0.25">
      <c r="A3667" t="str">
        <f>"0611836883100"</f>
        <v>0611836883100</v>
      </c>
      <c r="B3667" t="str">
        <f>"LG1901"</f>
        <v>LG1901</v>
      </c>
      <c r="C3667" t="s">
        <v>3587</v>
      </c>
    </row>
    <row r="3668" spans="1:3" x14ac:dyDescent="0.25">
      <c r="A3668" t="str">
        <f>"0611834105100"</f>
        <v>0611834105100</v>
      </c>
      <c r="B3668" t="str">
        <f>"LB2370"</f>
        <v>LB2370</v>
      </c>
      <c r="C3668" t="s">
        <v>3588</v>
      </c>
    </row>
    <row r="3669" spans="1:3" x14ac:dyDescent="0.25">
      <c r="A3669" t="str">
        <f>"0611833689100"</f>
        <v>0611833689100</v>
      </c>
      <c r="B3669" t="str">
        <f>"LS0017"</f>
        <v>LS0017</v>
      </c>
      <c r="C3669" t="s">
        <v>3640</v>
      </c>
    </row>
    <row r="3670" spans="1:3" x14ac:dyDescent="0.25">
      <c r="A3670" t="str">
        <f>"0611833658100"</f>
        <v>0611833658100</v>
      </c>
      <c r="B3670" t="str">
        <f>"LK4174"</f>
        <v>LK4174</v>
      </c>
      <c r="C3670" t="s">
        <v>3589</v>
      </c>
    </row>
    <row r="3671" spans="1:3" x14ac:dyDescent="0.25">
      <c r="A3671" t="str">
        <f>"0611906722100"</f>
        <v>0611906722100</v>
      </c>
      <c r="B3671" t="str">
        <f>"LK7254"</f>
        <v>LK7254</v>
      </c>
      <c r="C3671" t="s">
        <v>3590</v>
      </c>
    </row>
    <row r="3672" spans="1:3" x14ac:dyDescent="0.25">
      <c r="A3672" t="str">
        <f>"0611861538050"</f>
        <v>0611861538050</v>
      </c>
      <c r="B3672" t="str">
        <f>"CE1628"</f>
        <v>CE1628</v>
      </c>
      <c r="C3672" t="s">
        <v>3591</v>
      </c>
    </row>
    <row r="3673" spans="1:3" x14ac:dyDescent="0.25">
      <c r="A3673" t="str">
        <f>"0611906723100"</f>
        <v>0611906723100</v>
      </c>
      <c r="B3673" t="str">
        <f>"LQ6309"</f>
        <v>LQ6309</v>
      </c>
      <c r="C3673" t="s">
        <v>3592</v>
      </c>
    </row>
    <row r="3674" spans="1:3" x14ac:dyDescent="0.25">
      <c r="A3674" t="str">
        <f>"0611861539050"</f>
        <v>0611861539050</v>
      </c>
      <c r="B3674" t="str">
        <f>"CE1302"</f>
        <v>CE1302</v>
      </c>
      <c r="C3674" t="s">
        <v>3593</v>
      </c>
    </row>
    <row r="3675" spans="1:3" x14ac:dyDescent="0.25">
      <c r="A3675" t="str">
        <f>"0611861540050"</f>
        <v>0611861540050</v>
      </c>
      <c r="B3675" t="str">
        <f>"CE1698"</f>
        <v>CE1698</v>
      </c>
      <c r="C3675" t="s">
        <v>3594</v>
      </c>
    </row>
    <row r="3676" spans="1:3" x14ac:dyDescent="0.25">
      <c r="A3676" t="str">
        <f>"0611861541050"</f>
        <v>0611861541050</v>
      </c>
      <c r="B3676" t="str">
        <f>"CE1477"</f>
        <v>CE1477</v>
      </c>
      <c r="C3676" t="s">
        <v>3595</v>
      </c>
    </row>
    <row r="3677" spans="1:3" x14ac:dyDescent="0.25">
      <c r="A3677" t="str">
        <f>"0611861542050"</f>
        <v>0611861542050</v>
      </c>
      <c r="B3677" t="str">
        <f>"CE1594"</f>
        <v>CE1594</v>
      </c>
      <c r="C3677" t="s">
        <v>3596</v>
      </c>
    </row>
    <row r="3678" spans="1:3" x14ac:dyDescent="0.25">
      <c r="A3678" t="str">
        <f>"0611861543050"</f>
        <v>0611861543050</v>
      </c>
      <c r="B3678" t="str">
        <f>"CE1303"</f>
        <v>CE1303</v>
      </c>
      <c r="C3678" t="s">
        <v>3597</v>
      </c>
    </row>
    <row r="3679" spans="1:3" x14ac:dyDescent="0.25">
      <c r="A3679" t="str">
        <f>"0611861544050"</f>
        <v>0611861544050</v>
      </c>
      <c r="B3679" t="str">
        <f>"CE1304"</f>
        <v>CE1304</v>
      </c>
      <c r="C3679" t="s">
        <v>3598</v>
      </c>
    </row>
    <row r="3680" spans="1:3" x14ac:dyDescent="0.25">
      <c r="A3680" t="str">
        <f>"0611861545050"</f>
        <v>0611861545050</v>
      </c>
      <c r="B3680" t="str">
        <f>"CE1305"</f>
        <v>CE1305</v>
      </c>
      <c r="C3680" t="s">
        <v>3599</v>
      </c>
    </row>
    <row r="3681" spans="1:3" x14ac:dyDescent="0.25">
      <c r="A3681" t="str">
        <f>"0611861546050"</f>
        <v>0611861546050</v>
      </c>
      <c r="B3681" t="str">
        <f>"CE1306"</f>
        <v>CE1306</v>
      </c>
      <c r="C3681" t="s">
        <v>3600</v>
      </c>
    </row>
    <row r="3682" spans="1:3" x14ac:dyDescent="0.25">
      <c r="A3682" t="str">
        <f>"0611861547050"</f>
        <v>0611861547050</v>
      </c>
      <c r="B3682" t="str">
        <f>"CE1595"</f>
        <v>CE1595</v>
      </c>
      <c r="C3682" t="s">
        <v>3601</v>
      </c>
    </row>
    <row r="3683" spans="1:3" x14ac:dyDescent="0.25">
      <c r="A3683" t="str">
        <f>"0611861548050"</f>
        <v>0611861548050</v>
      </c>
      <c r="B3683" t="str">
        <f>"CE1307"</f>
        <v>CE1307</v>
      </c>
      <c r="C3683" t="s">
        <v>3602</v>
      </c>
    </row>
    <row r="3684" spans="1:3" x14ac:dyDescent="0.25">
      <c r="A3684" t="str">
        <f>"0611861549050"</f>
        <v>0611861549050</v>
      </c>
      <c r="B3684" t="str">
        <f>"CE1479"</f>
        <v>CE1479</v>
      </c>
      <c r="C3684" t="s">
        <v>3603</v>
      </c>
    </row>
    <row r="3685" spans="1:3" x14ac:dyDescent="0.25">
      <c r="A3685" t="str">
        <f>"0611861550050"</f>
        <v>0611861550050</v>
      </c>
      <c r="B3685" t="str">
        <f>"CE1596"</f>
        <v>CE1596</v>
      </c>
      <c r="C3685" t="s">
        <v>3604</v>
      </c>
    </row>
    <row r="3686" spans="1:3" x14ac:dyDescent="0.25">
      <c r="A3686" t="str">
        <f>"0611861551050"</f>
        <v>0611861551050</v>
      </c>
      <c r="B3686" t="str">
        <f>"CE1308"</f>
        <v>CE1308</v>
      </c>
      <c r="C3686" t="s">
        <v>3605</v>
      </c>
    </row>
    <row r="3687" spans="1:3" x14ac:dyDescent="0.25">
      <c r="A3687" t="str">
        <f>"0611861552050"</f>
        <v>0611861552050</v>
      </c>
      <c r="B3687" t="str">
        <f>"CR2171"</f>
        <v>CR2171</v>
      </c>
      <c r="C3687" t="s">
        <v>3606</v>
      </c>
    </row>
    <row r="3688" spans="1:3" x14ac:dyDescent="0.25">
      <c r="A3688" t="str">
        <f>"0611861553050"</f>
        <v>0611861553050</v>
      </c>
      <c r="B3688" t="str">
        <f>"CR2172"</f>
        <v>CR2172</v>
      </c>
      <c r="C3688" t="s">
        <v>3607</v>
      </c>
    </row>
    <row r="3689" spans="1:3" x14ac:dyDescent="0.25">
      <c r="A3689" t="str">
        <f>"0611861554050"</f>
        <v>0611861554050</v>
      </c>
      <c r="B3689" t="str">
        <f>"CR2173"</f>
        <v>CR2173</v>
      </c>
      <c r="C3689" t="s">
        <v>3608</v>
      </c>
    </row>
    <row r="3690" spans="1:3" x14ac:dyDescent="0.25">
      <c r="A3690" t="str">
        <f>"0611861556050"</f>
        <v>0611861556050</v>
      </c>
      <c r="B3690" t="str">
        <f>"CR2175"</f>
        <v>CR2175</v>
      </c>
      <c r="C3690" t="s">
        <v>3609</v>
      </c>
    </row>
    <row r="3691" spans="1:3" x14ac:dyDescent="0.25">
      <c r="A3691" t="str">
        <f>"0611861557050"</f>
        <v>0611861557050</v>
      </c>
      <c r="B3691" t="str">
        <f>"CR2176"</f>
        <v>CR2176</v>
      </c>
      <c r="C3691" t="s">
        <v>3610</v>
      </c>
    </row>
    <row r="3692" spans="1:3" x14ac:dyDescent="0.25">
      <c r="A3692" t="str">
        <f>"0611861558050"</f>
        <v>0611861558050</v>
      </c>
      <c r="B3692" t="str">
        <f>"CR2177"</f>
        <v>CR2177</v>
      </c>
      <c r="C3692" t="s">
        <v>3611</v>
      </c>
    </row>
    <row r="3693" spans="1:3" x14ac:dyDescent="0.25">
      <c r="A3693" t="str">
        <f>"0611861559050"</f>
        <v>0611861559050</v>
      </c>
      <c r="B3693" t="str">
        <f>"CR2178"</f>
        <v>CR2178</v>
      </c>
      <c r="C3693" t="s">
        <v>3612</v>
      </c>
    </row>
    <row r="3694" spans="1:3" x14ac:dyDescent="0.25">
      <c r="A3694" t="str">
        <f>"0611861560050"</f>
        <v>0611861560050</v>
      </c>
      <c r="B3694" t="str">
        <f>"CR2179"</f>
        <v>CR2179</v>
      </c>
      <c r="C3694" t="s">
        <v>3613</v>
      </c>
    </row>
    <row r="3695" spans="1:3" x14ac:dyDescent="0.25">
      <c r="A3695" t="str">
        <f>"0611861561050"</f>
        <v>0611861561050</v>
      </c>
      <c r="B3695" t="str">
        <f>"CR2180"</f>
        <v>CR2180</v>
      </c>
      <c r="C3695" t="s">
        <v>3614</v>
      </c>
    </row>
    <row r="3696" spans="1:3" x14ac:dyDescent="0.25">
      <c r="A3696" t="str">
        <f>"0611861562050"</f>
        <v>0611861562050</v>
      </c>
      <c r="B3696" t="str">
        <f>"CR2181"</f>
        <v>CR2181</v>
      </c>
      <c r="C3696" t="s">
        <v>3615</v>
      </c>
    </row>
    <row r="3697" spans="1:3" x14ac:dyDescent="0.25">
      <c r="A3697" t="str">
        <f>"0611861563050"</f>
        <v>0611861563050</v>
      </c>
      <c r="B3697" t="str">
        <f>"CR2182"</f>
        <v>CR2182</v>
      </c>
      <c r="C3697" t="s">
        <v>3616</v>
      </c>
    </row>
    <row r="3698" spans="1:3" x14ac:dyDescent="0.25">
      <c r="A3698" t="str">
        <f>"0611861565050"</f>
        <v>0611861565050</v>
      </c>
      <c r="B3698" t="str">
        <f>"CR2632"</f>
        <v>CR2632</v>
      </c>
      <c r="C3698" t="s">
        <v>3618</v>
      </c>
    </row>
    <row r="3699" spans="1:3" x14ac:dyDescent="0.25">
      <c r="A3699" t="str">
        <f>"0611861566050"</f>
        <v>0611861566050</v>
      </c>
      <c r="B3699" t="str">
        <f>"CR3199"</f>
        <v>CR3199</v>
      </c>
      <c r="C3699" t="s">
        <v>3619</v>
      </c>
    </row>
    <row r="3700" spans="1:3" x14ac:dyDescent="0.25">
      <c r="A3700" t="str">
        <f>"0611861564050"</f>
        <v>0611861564050</v>
      </c>
      <c r="B3700" t="str">
        <f>"CR2183"</f>
        <v>CR2183</v>
      </c>
      <c r="C3700" t="s">
        <v>3617</v>
      </c>
    </row>
    <row r="3701" spans="1:3" x14ac:dyDescent="0.25">
      <c r="A3701" t="str">
        <f>"0611833666100"</f>
        <v>0611833666100</v>
      </c>
      <c r="B3701" t="str">
        <f>"LQ3753"</f>
        <v>LQ3753</v>
      </c>
      <c r="C3701" t="s">
        <v>3620</v>
      </c>
    </row>
    <row r="3702" spans="1:3" x14ac:dyDescent="0.25">
      <c r="A3702" t="str">
        <f>"0611833667100"</f>
        <v>0611833667100</v>
      </c>
      <c r="B3702" t="str">
        <f>"LK5212"</f>
        <v>LK5212</v>
      </c>
      <c r="C3702" t="s">
        <v>3621</v>
      </c>
    </row>
    <row r="3703" spans="1:3" x14ac:dyDescent="0.25">
      <c r="A3703" t="str">
        <f>"0611833669100"</f>
        <v>0611833669100</v>
      </c>
      <c r="B3703" t="str">
        <f>"LB2406"</f>
        <v>LB2406</v>
      </c>
      <c r="C3703" t="s">
        <v>3622</v>
      </c>
    </row>
    <row r="3704" spans="1:3" x14ac:dyDescent="0.25">
      <c r="A3704" t="str">
        <f>"0611833672100"</f>
        <v>0611833672100</v>
      </c>
      <c r="B3704" t="str">
        <f>"LQ3523"</f>
        <v>LQ3523</v>
      </c>
      <c r="C3704" t="s">
        <v>3623</v>
      </c>
    </row>
    <row r="3705" spans="1:3" x14ac:dyDescent="0.25">
      <c r="A3705" t="str">
        <f>"0611833673100"</f>
        <v>0611833673100</v>
      </c>
      <c r="B3705" t="str">
        <f>"LQ3745"</f>
        <v>LQ3745</v>
      </c>
      <c r="C3705" t="s">
        <v>3624</v>
      </c>
    </row>
    <row r="3706" spans="1:3" x14ac:dyDescent="0.25">
      <c r="A3706" t="str">
        <f>"0611833674100"</f>
        <v>0611833674100</v>
      </c>
      <c r="B3706" t="str">
        <f>"LQ0944"</f>
        <v>LQ0944</v>
      </c>
      <c r="C3706" t="s">
        <v>3625</v>
      </c>
    </row>
    <row r="3707" spans="1:3" x14ac:dyDescent="0.25">
      <c r="A3707" t="str">
        <f>"0611833675100"</f>
        <v>0611833675100</v>
      </c>
      <c r="B3707" t="str">
        <f>"LQ0945"</f>
        <v>LQ0945</v>
      </c>
      <c r="C3707" t="s">
        <v>3626</v>
      </c>
    </row>
    <row r="3708" spans="1:3" x14ac:dyDescent="0.25">
      <c r="A3708" t="str">
        <f>"0611833676100"</f>
        <v>0611833676100</v>
      </c>
      <c r="B3708" t="str">
        <f>"LQ0946"</f>
        <v>LQ0946</v>
      </c>
      <c r="C3708" t="s">
        <v>3627</v>
      </c>
    </row>
    <row r="3709" spans="1:3" x14ac:dyDescent="0.25">
      <c r="A3709" t="str">
        <f>"0611833677100"</f>
        <v>0611833677100</v>
      </c>
      <c r="B3709" t="str">
        <f>"LQ0947"</f>
        <v>LQ0947</v>
      </c>
      <c r="C3709" t="s">
        <v>3628</v>
      </c>
    </row>
    <row r="3710" spans="1:3" x14ac:dyDescent="0.25">
      <c r="A3710" t="str">
        <f>"0611833678100"</f>
        <v>0611833678100</v>
      </c>
      <c r="B3710" t="str">
        <f>"LQ3525"</f>
        <v>LQ3525</v>
      </c>
      <c r="C3710" t="s">
        <v>3629</v>
      </c>
    </row>
    <row r="3711" spans="1:3" x14ac:dyDescent="0.25">
      <c r="A3711" t="str">
        <f>"0611833680100"</f>
        <v>0611833680100</v>
      </c>
      <c r="B3711" t="str">
        <f>"LQ0948"</f>
        <v>LQ0948</v>
      </c>
      <c r="C3711" t="s">
        <v>3630</v>
      </c>
    </row>
    <row r="3712" spans="1:3" x14ac:dyDescent="0.25">
      <c r="A3712" t="str">
        <f>"0611833681100"</f>
        <v>0611833681100</v>
      </c>
      <c r="B3712" t="str">
        <f>"LQ3801"</f>
        <v>LQ3801</v>
      </c>
      <c r="C3712" t="s">
        <v>3631</v>
      </c>
    </row>
    <row r="3713" spans="1:3" x14ac:dyDescent="0.25">
      <c r="A3713" t="str">
        <f>"0611833682100"</f>
        <v>0611833682100</v>
      </c>
      <c r="B3713" t="str">
        <f>"LB2415"</f>
        <v>LB2415</v>
      </c>
      <c r="C3713" t="s">
        <v>3632</v>
      </c>
    </row>
    <row r="3714" spans="1:3" x14ac:dyDescent="0.25">
      <c r="A3714" t="str">
        <f>"0611833683100"</f>
        <v>0611833683100</v>
      </c>
      <c r="B3714" t="str">
        <f>"LB2411"</f>
        <v>LB2411</v>
      </c>
      <c r="C3714" t="s">
        <v>3633</v>
      </c>
    </row>
    <row r="3715" spans="1:3" x14ac:dyDescent="0.25">
      <c r="A3715" t="str">
        <f>"0611833684100"</f>
        <v>0611833684100</v>
      </c>
      <c r="B3715" t="str">
        <f>"LB2412"</f>
        <v>LB2412</v>
      </c>
      <c r="C3715" t="s">
        <v>3634</v>
      </c>
    </row>
    <row r="3716" spans="1:3" x14ac:dyDescent="0.25">
      <c r="A3716" t="str">
        <f>"0611833685100"</f>
        <v>0611833685100</v>
      </c>
      <c r="B3716" t="str">
        <f>"LB2413"</f>
        <v>LB2413</v>
      </c>
      <c r="C3716" t="s">
        <v>3635</v>
      </c>
    </row>
    <row r="3717" spans="1:3" x14ac:dyDescent="0.25">
      <c r="A3717" t="str">
        <f>"0611833686100"</f>
        <v>0611833686100</v>
      </c>
      <c r="B3717" t="str">
        <f>"LB2416"</f>
        <v>LB2416</v>
      </c>
      <c r="C3717" t="s">
        <v>3636</v>
      </c>
    </row>
    <row r="3718" spans="1:3" x14ac:dyDescent="0.25">
      <c r="A3718" t="str">
        <f>"0611833687100"</f>
        <v>0611833687100</v>
      </c>
      <c r="B3718" t="str">
        <f>"LB2414"</f>
        <v>LB2414</v>
      </c>
      <c r="C3718" t="s">
        <v>3637</v>
      </c>
    </row>
    <row r="3719" spans="1:3" x14ac:dyDescent="0.25">
      <c r="A3719" t="str">
        <f>"0611833688100"</f>
        <v>0611833688100</v>
      </c>
      <c r="B3719" t="str">
        <f>"LK2785"</f>
        <v>LK2785</v>
      </c>
      <c r="C3719" t="s">
        <v>3638</v>
      </c>
    </row>
    <row r="3720" spans="1:3" x14ac:dyDescent="0.25">
      <c r="A3720" t="str">
        <f>"0611833659025"</f>
        <v>0611833659025</v>
      </c>
      <c r="B3720" t="str">
        <f>"MC1453"</f>
        <v>MC1453</v>
      </c>
      <c r="C3720" t="s">
        <v>3639</v>
      </c>
    </row>
    <row r="3721" spans="1:3" x14ac:dyDescent="0.25">
      <c r="A3721" t="str">
        <f>"0611861569050"</f>
        <v>0611861569050</v>
      </c>
      <c r="B3721" t="str">
        <f>"CE1179"</f>
        <v>CE1179</v>
      </c>
      <c r="C3721" t="s">
        <v>13823</v>
      </c>
    </row>
    <row r="3722" spans="1:3" x14ac:dyDescent="0.25">
      <c r="A3722" t="str">
        <f>"0611861572050"</f>
        <v>0611861572050</v>
      </c>
      <c r="B3722" t="str">
        <f>"CE1087"</f>
        <v>CE1087</v>
      </c>
      <c r="C3722" t="s">
        <v>13824</v>
      </c>
    </row>
    <row r="3723" spans="1:3" x14ac:dyDescent="0.25">
      <c r="A3723" t="str">
        <f>"0611861570050"</f>
        <v>0611861570050</v>
      </c>
      <c r="B3723" t="str">
        <f>"CE0921"</f>
        <v>CE0921</v>
      </c>
      <c r="C3723" t="s">
        <v>3641</v>
      </c>
    </row>
    <row r="3724" spans="1:3" x14ac:dyDescent="0.25">
      <c r="A3724" t="str">
        <f>"0611861571050"</f>
        <v>0611861571050</v>
      </c>
      <c r="B3724" t="str">
        <f>"CE1309"</f>
        <v>CE1309</v>
      </c>
      <c r="C3724" t="s">
        <v>3642</v>
      </c>
    </row>
    <row r="3725" spans="1:3" x14ac:dyDescent="0.25">
      <c r="A3725" t="str">
        <f>"0611861573050"</f>
        <v>0611861573050</v>
      </c>
      <c r="B3725" t="str">
        <f>"CE1180"</f>
        <v>CE1180</v>
      </c>
      <c r="C3725" t="s">
        <v>3643</v>
      </c>
    </row>
    <row r="3726" spans="1:3" x14ac:dyDescent="0.25">
      <c r="A3726" t="str">
        <f>"0611861574050"</f>
        <v>0611861574050</v>
      </c>
      <c r="B3726" t="str">
        <f>"CE1310"</f>
        <v>CE1310</v>
      </c>
      <c r="C3726" t="s">
        <v>3644</v>
      </c>
    </row>
    <row r="3727" spans="1:3" x14ac:dyDescent="0.25">
      <c r="A3727" t="str">
        <f>"0611861575050"</f>
        <v>0611861575050</v>
      </c>
      <c r="B3727" t="str">
        <f>"CE0844"</f>
        <v>CE0844</v>
      </c>
      <c r="C3727" t="s">
        <v>3645</v>
      </c>
    </row>
    <row r="3728" spans="1:3" x14ac:dyDescent="0.25">
      <c r="A3728" t="str">
        <f>"0611861576050"</f>
        <v>0611861576050</v>
      </c>
      <c r="B3728" t="str">
        <f>"CE0845"</f>
        <v>CE0845</v>
      </c>
      <c r="C3728" t="s">
        <v>3646</v>
      </c>
    </row>
    <row r="3729" spans="1:3" x14ac:dyDescent="0.25">
      <c r="A3729" t="str">
        <f>"0611861577050"</f>
        <v>0611861577050</v>
      </c>
      <c r="B3729" t="str">
        <f>"CE0846"</f>
        <v>CE0846</v>
      </c>
      <c r="C3729" t="s">
        <v>3647</v>
      </c>
    </row>
    <row r="3730" spans="1:3" x14ac:dyDescent="0.25">
      <c r="A3730" t="str">
        <f>"0611861578050"</f>
        <v>0611861578050</v>
      </c>
      <c r="B3730" t="str">
        <f>"CE1181"</f>
        <v>CE1181</v>
      </c>
      <c r="C3730" t="s">
        <v>3648</v>
      </c>
    </row>
    <row r="3731" spans="1:3" x14ac:dyDescent="0.25">
      <c r="A3731" t="str">
        <f>"0611861579050"</f>
        <v>0611861579050</v>
      </c>
      <c r="B3731" t="str">
        <f>"CE0922"</f>
        <v>CE0922</v>
      </c>
      <c r="C3731" t="s">
        <v>3649</v>
      </c>
    </row>
    <row r="3732" spans="1:3" x14ac:dyDescent="0.25">
      <c r="A3732" t="str">
        <f>"0611861580050"</f>
        <v>0611861580050</v>
      </c>
      <c r="B3732" t="str">
        <f>"CE0923"</f>
        <v>CE0923</v>
      </c>
      <c r="C3732" t="s">
        <v>13825</v>
      </c>
    </row>
    <row r="3733" spans="1:3" x14ac:dyDescent="0.25">
      <c r="A3733" t="str">
        <f>"0611861581050"</f>
        <v>0611861581050</v>
      </c>
      <c r="B3733" t="str">
        <f>"CE0924"</f>
        <v>CE0924</v>
      </c>
      <c r="C3733" t="s">
        <v>3650</v>
      </c>
    </row>
    <row r="3734" spans="1:3" x14ac:dyDescent="0.25">
      <c r="A3734" t="str">
        <f>"0611861582050"</f>
        <v>0611861582050</v>
      </c>
      <c r="B3734" t="str">
        <f>"CE0848"</f>
        <v>CE0848</v>
      </c>
      <c r="C3734" t="s">
        <v>3651</v>
      </c>
    </row>
    <row r="3735" spans="1:3" x14ac:dyDescent="0.25">
      <c r="A3735" t="str">
        <f>"0611861583050"</f>
        <v>0611861583050</v>
      </c>
      <c r="B3735" t="str">
        <f>"CE0849"</f>
        <v>CE0849</v>
      </c>
      <c r="C3735" t="s">
        <v>3652</v>
      </c>
    </row>
    <row r="3736" spans="1:3" x14ac:dyDescent="0.25">
      <c r="A3736" t="str">
        <f>"0611861584050"</f>
        <v>0611861584050</v>
      </c>
      <c r="B3736" t="str">
        <f>"CE0850"</f>
        <v>CE0850</v>
      </c>
      <c r="C3736" t="s">
        <v>3653</v>
      </c>
    </row>
    <row r="3737" spans="1:3" x14ac:dyDescent="0.25">
      <c r="A3737" t="str">
        <f>"0611861585050"</f>
        <v>0611861585050</v>
      </c>
      <c r="B3737" t="str">
        <f>"CE1311"</f>
        <v>CE1311</v>
      </c>
      <c r="C3737" t="s">
        <v>3654</v>
      </c>
    </row>
    <row r="3738" spans="1:3" x14ac:dyDescent="0.25">
      <c r="A3738" t="str">
        <f>"0611861586050"</f>
        <v>0611861586050</v>
      </c>
      <c r="B3738" t="str">
        <f>"CE1522"</f>
        <v>CE1522</v>
      </c>
      <c r="C3738" t="s">
        <v>3655</v>
      </c>
    </row>
    <row r="3739" spans="1:3" x14ac:dyDescent="0.25">
      <c r="A3739" t="str">
        <f>"0611861588050"</f>
        <v>0611861588050</v>
      </c>
      <c r="B3739" t="str">
        <f>"CE1313"</f>
        <v>CE1313</v>
      </c>
      <c r="C3739" t="s">
        <v>3656</v>
      </c>
    </row>
    <row r="3740" spans="1:3" x14ac:dyDescent="0.25">
      <c r="A3740" t="str">
        <f>"0611861589050"</f>
        <v>0611861589050</v>
      </c>
      <c r="B3740" t="str">
        <f>"CE1314"</f>
        <v>CE1314</v>
      </c>
      <c r="C3740" t="s">
        <v>3657</v>
      </c>
    </row>
    <row r="3741" spans="1:3" x14ac:dyDescent="0.25">
      <c r="A3741" t="str">
        <f>"0611861590050"</f>
        <v>0611861590050</v>
      </c>
      <c r="B3741" t="str">
        <f>"CE1315"</f>
        <v>CE1315</v>
      </c>
      <c r="C3741" t="s">
        <v>3658</v>
      </c>
    </row>
    <row r="3742" spans="1:3" x14ac:dyDescent="0.25">
      <c r="A3742" t="str">
        <f>"0611861591050"</f>
        <v>0611861591050</v>
      </c>
      <c r="B3742" t="str">
        <f>"CE1316"</f>
        <v>CE1316</v>
      </c>
      <c r="C3742" t="s">
        <v>3659</v>
      </c>
    </row>
    <row r="3743" spans="1:3" x14ac:dyDescent="0.25">
      <c r="A3743" t="str">
        <f>"0611861593050"</f>
        <v>0611861593050</v>
      </c>
      <c r="B3743" t="str">
        <f>"CE1318"</f>
        <v>CE1318</v>
      </c>
      <c r="C3743" t="s">
        <v>3660</v>
      </c>
    </row>
    <row r="3744" spans="1:3" x14ac:dyDescent="0.25">
      <c r="A3744" t="str">
        <f>"0611861594050"</f>
        <v>0611861594050</v>
      </c>
      <c r="B3744" t="str">
        <f>"CE1319"</f>
        <v>CE1319</v>
      </c>
      <c r="C3744" t="s">
        <v>3661</v>
      </c>
    </row>
    <row r="3745" spans="1:3" x14ac:dyDescent="0.25">
      <c r="A3745" t="str">
        <f>"0611833690100"</f>
        <v>0611833690100</v>
      </c>
      <c r="B3745" t="str">
        <f>"LB2387"</f>
        <v>LB2387</v>
      </c>
      <c r="C3745" t="s">
        <v>3662</v>
      </c>
    </row>
    <row r="3746" spans="1:3" x14ac:dyDescent="0.25">
      <c r="A3746" t="str">
        <f>"0611861595050"</f>
        <v>0611861595050</v>
      </c>
      <c r="B3746" t="str">
        <f>"CR3521"</f>
        <v>CR3521</v>
      </c>
      <c r="C3746" t="s">
        <v>3663</v>
      </c>
    </row>
    <row r="3747" spans="1:3" x14ac:dyDescent="0.25">
      <c r="A3747" t="str">
        <f>"0611906558050"</f>
        <v>0611906558050</v>
      </c>
      <c r="B3747" t="str">
        <f>"CR5486"</f>
        <v>CR5486</v>
      </c>
      <c r="C3747" t="s">
        <v>3664</v>
      </c>
    </row>
    <row r="3748" spans="1:3" x14ac:dyDescent="0.25">
      <c r="A3748" t="str">
        <f>"0611861596050"</f>
        <v>0611861596050</v>
      </c>
      <c r="B3748" t="str">
        <f>"CR3882"</f>
        <v>CR3882</v>
      </c>
      <c r="C3748" t="s">
        <v>3665</v>
      </c>
    </row>
    <row r="3749" spans="1:3" x14ac:dyDescent="0.25">
      <c r="A3749" t="str">
        <f>"0611861597050"</f>
        <v>0611861597050</v>
      </c>
      <c r="B3749" t="str">
        <f>"CR3523"</f>
        <v>CR3523</v>
      </c>
      <c r="C3749" t="s">
        <v>3666</v>
      </c>
    </row>
    <row r="3750" spans="1:3" x14ac:dyDescent="0.25">
      <c r="A3750" t="str">
        <f>"0611861598050"</f>
        <v>0611861598050</v>
      </c>
      <c r="B3750" t="str">
        <f>"CR3883"</f>
        <v>CR3883</v>
      </c>
      <c r="C3750" t="s">
        <v>3667</v>
      </c>
    </row>
    <row r="3751" spans="1:3" x14ac:dyDescent="0.25">
      <c r="A3751" t="str">
        <f>"0611861599050"</f>
        <v>0611861599050</v>
      </c>
      <c r="B3751" t="str">
        <f>"CR2161"</f>
        <v>CR2161</v>
      </c>
      <c r="C3751" t="s">
        <v>3668</v>
      </c>
    </row>
    <row r="3752" spans="1:3" x14ac:dyDescent="0.25">
      <c r="A3752" t="str">
        <f>"0611861600050"</f>
        <v>0611861600050</v>
      </c>
      <c r="B3752" t="str">
        <f>"CR4816"</f>
        <v>CR4816</v>
      </c>
      <c r="C3752" t="s">
        <v>3669</v>
      </c>
    </row>
    <row r="3753" spans="1:3" x14ac:dyDescent="0.25">
      <c r="A3753" t="str">
        <f>"0611861601050"</f>
        <v>0611861601050</v>
      </c>
      <c r="B3753" t="str">
        <f>"CR2162"</f>
        <v>CR2162</v>
      </c>
      <c r="C3753" t="s">
        <v>3670</v>
      </c>
    </row>
    <row r="3754" spans="1:3" x14ac:dyDescent="0.25">
      <c r="A3754" t="str">
        <f>"0611861602050"</f>
        <v>0611861602050</v>
      </c>
      <c r="B3754" t="str">
        <f>"CR2163"</f>
        <v>CR2163</v>
      </c>
      <c r="C3754" t="s">
        <v>3671</v>
      </c>
    </row>
    <row r="3755" spans="1:3" x14ac:dyDescent="0.25">
      <c r="A3755" t="str">
        <f>"0611861603050"</f>
        <v>0611861603050</v>
      </c>
      <c r="B3755" t="str">
        <f>"CR3524"</f>
        <v>CR3524</v>
      </c>
      <c r="C3755" t="s">
        <v>3672</v>
      </c>
    </row>
    <row r="3756" spans="1:3" x14ac:dyDescent="0.25">
      <c r="A3756" t="str">
        <f>"0611861604050"</f>
        <v>0611861604050</v>
      </c>
      <c r="B3756" t="str">
        <f>"CR5180"</f>
        <v>CR5180</v>
      </c>
      <c r="C3756" t="s">
        <v>3673</v>
      </c>
    </row>
    <row r="3757" spans="1:3" x14ac:dyDescent="0.25">
      <c r="A3757" t="str">
        <f>"0611861605050"</f>
        <v>0611861605050</v>
      </c>
      <c r="B3757" t="str">
        <f>"CR2164"</f>
        <v>CR2164</v>
      </c>
      <c r="C3757" t="s">
        <v>3674</v>
      </c>
    </row>
    <row r="3758" spans="1:3" x14ac:dyDescent="0.25">
      <c r="A3758" t="str">
        <f>"0611861606050"</f>
        <v>0611861606050</v>
      </c>
      <c r="B3758" t="str">
        <f>"CR2165"</f>
        <v>CR2165</v>
      </c>
      <c r="C3758" t="s">
        <v>3675</v>
      </c>
    </row>
    <row r="3759" spans="1:3" x14ac:dyDescent="0.25">
      <c r="A3759" t="str">
        <f>"0611861607050"</f>
        <v>0611861607050</v>
      </c>
      <c r="B3759" t="str">
        <f>"CR2166"</f>
        <v>CR2166</v>
      </c>
      <c r="C3759" t="s">
        <v>3676</v>
      </c>
    </row>
    <row r="3760" spans="1:3" x14ac:dyDescent="0.25">
      <c r="A3760" t="str">
        <f>"0611861608050"</f>
        <v>0611861608050</v>
      </c>
      <c r="B3760" t="str">
        <f>"CR2167"</f>
        <v>CR2167</v>
      </c>
      <c r="C3760" t="s">
        <v>3677</v>
      </c>
    </row>
    <row r="3761" spans="1:3" x14ac:dyDescent="0.25">
      <c r="A3761" t="str">
        <f>"0611861609050"</f>
        <v>0611861609050</v>
      </c>
      <c r="B3761" t="str">
        <f>"CR5181"</f>
        <v>CR5181</v>
      </c>
      <c r="C3761" t="s">
        <v>3678</v>
      </c>
    </row>
    <row r="3762" spans="1:3" x14ac:dyDescent="0.25">
      <c r="A3762" t="str">
        <f>"0611861610050"</f>
        <v>0611861610050</v>
      </c>
      <c r="B3762" t="str">
        <f>"CR2169"</f>
        <v>CR2169</v>
      </c>
      <c r="C3762" t="s">
        <v>3679</v>
      </c>
    </row>
    <row r="3763" spans="1:3" x14ac:dyDescent="0.25">
      <c r="A3763" t="str">
        <f>"0611861611050"</f>
        <v>0611861611050</v>
      </c>
      <c r="B3763" t="str">
        <f>"CR2170"</f>
        <v>CR2170</v>
      </c>
      <c r="C3763" t="s">
        <v>3680</v>
      </c>
    </row>
    <row r="3764" spans="1:3" x14ac:dyDescent="0.25">
      <c r="A3764" t="str">
        <f>"0611861612050"</f>
        <v>0611861612050</v>
      </c>
      <c r="B3764" t="str">
        <f>"CR2631"</f>
        <v>CR2631</v>
      </c>
      <c r="C3764" t="s">
        <v>3681</v>
      </c>
    </row>
    <row r="3765" spans="1:3" x14ac:dyDescent="0.25">
      <c r="A3765" t="str">
        <f>"0611861613050"</f>
        <v>0611861613050</v>
      </c>
      <c r="B3765" t="str">
        <f>"CR2156"</f>
        <v>CR2156</v>
      </c>
      <c r="C3765" t="s">
        <v>3682</v>
      </c>
    </row>
    <row r="3766" spans="1:3" x14ac:dyDescent="0.25">
      <c r="A3766" t="str">
        <f>"0611861614050"</f>
        <v>0611861614050</v>
      </c>
      <c r="B3766" t="str">
        <f>"CE1685"</f>
        <v>CE1685</v>
      </c>
      <c r="C3766" t="s">
        <v>3683</v>
      </c>
    </row>
    <row r="3767" spans="1:3" x14ac:dyDescent="0.25">
      <c r="A3767" t="str">
        <f>"0611861615050"</f>
        <v>0611861615050</v>
      </c>
      <c r="B3767" t="str">
        <f>"CE1647"</f>
        <v>CE1647</v>
      </c>
      <c r="C3767" t="s">
        <v>3684</v>
      </c>
    </row>
    <row r="3768" spans="1:3" x14ac:dyDescent="0.25">
      <c r="A3768" t="str">
        <f>"0611861616050"</f>
        <v>0611861616050</v>
      </c>
      <c r="B3768" t="str">
        <f>"CE1648"</f>
        <v>CE1648</v>
      </c>
      <c r="C3768" t="s">
        <v>3685</v>
      </c>
    </row>
    <row r="3769" spans="1:3" x14ac:dyDescent="0.25">
      <c r="A3769" t="str">
        <f>"0611861617050"</f>
        <v>0611861617050</v>
      </c>
      <c r="B3769" t="str">
        <f>"CE1646"</f>
        <v>CE1646</v>
      </c>
      <c r="C3769" t="s">
        <v>3686</v>
      </c>
    </row>
    <row r="3770" spans="1:3" x14ac:dyDescent="0.25">
      <c r="A3770" t="str">
        <f>"0611893575050"</f>
        <v>0611893575050</v>
      </c>
      <c r="B3770" t="str">
        <f>"CE1768"</f>
        <v>CE1768</v>
      </c>
      <c r="C3770" t="s">
        <v>3687</v>
      </c>
    </row>
    <row r="3771" spans="1:3" x14ac:dyDescent="0.25">
      <c r="A3771" t="str">
        <f>"0611861618050"</f>
        <v>0611861618050</v>
      </c>
      <c r="B3771" t="str">
        <f>"CE1726"</f>
        <v>CE1726</v>
      </c>
      <c r="C3771" t="s">
        <v>3688</v>
      </c>
    </row>
    <row r="3772" spans="1:3" x14ac:dyDescent="0.25">
      <c r="A3772" t="str">
        <f>"0611861619050"</f>
        <v>0611861619050</v>
      </c>
      <c r="B3772" t="str">
        <f>"CE1689"</f>
        <v>CE1689</v>
      </c>
      <c r="C3772" t="s">
        <v>3689</v>
      </c>
    </row>
    <row r="3773" spans="1:3" x14ac:dyDescent="0.25">
      <c r="A3773" t="str">
        <f>"0611861620050"</f>
        <v>0611861620050</v>
      </c>
      <c r="B3773" t="str">
        <f>"CE1687"</f>
        <v>CE1687</v>
      </c>
      <c r="C3773" t="s">
        <v>3690</v>
      </c>
    </row>
    <row r="3774" spans="1:3" x14ac:dyDescent="0.25">
      <c r="A3774" t="str">
        <f>"0611861621050"</f>
        <v>0611861621050</v>
      </c>
      <c r="B3774" t="str">
        <f>"CE1626"</f>
        <v>CE1626</v>
      </c>
      <c r="C3774" t="s">
        <v>3691</v>
      </c>
    </row>
    <row r="3775" spans="1:3" x14ac:dyDescent="0.25">
      <c r="A3775" t="str">
        <f>"0611861622050"</f>
        <v>0611861622050</v>
      </c>
      <c r="B3775" t="str">
        <f>"CE1627"</f>
        <v>CE1627</v>
      </c>
      <c r="C3775" t="s">
        <v>3692</v>
      </c>
    </row>
    <row r="3776" spans="1:3" x14ac:dyDescent="0.25">
      <c r="A3776" t="str">
        <f>"0611861623050"</f>
        <v>0611861623050</v>
      </c>
      <c r="B3776" t="str">
        <f>"CE1686"</f>
        <v>CE1686</v>
      </c>
      <c r="C3776" t="s">
        <v>3693</v>
      </c>
    </row>
    <row r="3777" spans="1:3" x14ac:dyDescent="0.25">
      <c r="A3777" t="str">
        <f>"0611861624050"</f>
        <v>0611861624050</v>
      </c>
      <c r="B3777" t="str">
        <f>"CE1688"</f>
        <v>CE1688</v>
      </c>
      <c r="C3777" t="s">
        <v>3694</v>
      </c>
    </row>
    <row r="3778" spans="1:3" x14ac:dyDescent="0.25">
      <c r="A3778" t="str">
        <f>"0611833691100"</f>
        <v>0611833691100</v>
      </c>
      <c r="B3778" t="str">
        <f>"LQ3802"</f>
        <v>LQ3802</v>
      </c>
      <c r="C3778" t="s">
        <v>3695</v>
      </c>
    </row>
    <row r="3779" spans="1:3" x14ac:dyDescent="0.25">
      <c r="A3779" t="str">
        <f>"0611833692100"</f>
        <v>0611833692100</v>
      </c>
      <c r="B3779" t="str">
        <f>"LQ6013"</f>
        <v>LQ6013</v>
      </c>
      <c r="C3779" t="s">
        <v>3696</v>
      </c>
    </row>
    <row r="3780" spans="1:3" x14ac:dyDescent="0.25">
      <c r="A3780" t="str">
        <f>"0611833693100"</f>
        <v>0611833693100</v>
      </c>
      <c r="B3780" t="str">
        <f>"LQ3746"</f>
        <v>LQ3746</v>
      </c>
      <c r="C3780" t="s">
        <v>3697</v>
      </c>
    </row>
    <row r="3781" spans="1:3" x14ac:dyDescent="0.25">
      <c r="A3781" t="str">
        <f>"0611833694100"</f>
        <v>0611833694100</v>
      </c>
      <c r="B3781" t="str">
        <f>"LQ3747"</f>
        <v>LQ3747</v>
      </c>
      <c r="C3781" t="s">
        <v>3698</v>
      </c>
    </row>
    <row r="3782" spans="1:3" x14ac:dyDescent="0.25">
      <c r="A3782" t="str">
        <f>"0611833695100"</f>
        <v>0611833695100</v>
      </c>
      <c r="B3782" t="str">
        <f>"LQ3748"</f>
        <v>LQ3748</v>
      </c>
      <c r="C3782" t="s">
        <v>3699</v>
      </c>
    </row>
    <row r="3783" spans="1:3" x14ac:dyDescent="0.25">
      <c r="A3783" t="str">
        <f>"0611861625050"</f>
        <v>0611861625050</v>
      </c>
      <c r="B3783" t="str">
        <f>"CR4886"</f>
        <v>CR4886</v>
      </c>
      <c r="C3783" t="s">
        <v>3700</v>
      </c>
    </row>
    <row r="3784" spans="1:3" x14ac:dyDescent="0.25">
      <c r="A3784" t="str">
        <f>"0611861626050"</f>
        <v>0611861626050</v>
      </c>
      <c r="B3784" t="str">
        <f>"CR4958"</f>
        <v>CR4958</v>
      </c>
      <c r="C3784" t="s">
        <v>3701</v>
      </c>
    </row>
    <row r="3785" spans="1:3" x14ac:dyDescent="0.25">
      <c r="A3785" t="str">
        <f>"0611861627050"</f>
        <v>0611861627050</v>
      </c>
      <c r="B3785" t="str">
        <f>"CR5182"</f>
        <v>CR5182</v>
      </c>
      <c r="C3785" t="s">
        <v>3702</v>
      </c>
    </row>
    <row r="3786" spans="1:3" x14ac:dyDescent="0.25">
      <c r="A3786" t="str">
        <f>"0611861628050"</f>
        <v>0611861628050</v>
      </c>
      <c r="B3786" t="str">
        <f>"CR4959"</f>
        <v>CR4959</v>
      </c>
      <c r="C3786" t="s">
        <v>3703</v>
      </c>
    </row>
    <row r="3787" spans="1:3" x14ac:dyDescent="0.25">
      <c r="A3787" t="str">
        <f>"0611861629050"</f>
        <v>0611861629050</v>
      </c>
      <c r="B3787" t="str">
        <f>"CR4960"</f>
        <v>CR4960</v>
      </c>
      <c r="C3787" t="s">
        <v>3704</v>
      </c>
    </row>
    <row r="3788" spans="1:3" x14ac:dyDescent="0.25">
      <c r="A3788" t="str">
        <f>"0611884154050"</f>
        <v>0611884154050</v>
      </c>
      <c r="B3788" t="str">
        <f>"CR5343"</f>
        <v>CR5343</v>
      </c>
      <c r="C3788" t="s">
        <v>3705</v>
      </c>
    </row>
    <row r="3789" spans="1:3" x14ac:dyDescent="0.25">
      <c r="A3789" t="str">
        <f>"0611861630050"</f>
        <v>0611861630050</v>
      </c>
      <c r="B3789" t="str">
        <f>"CE1231"</f>
        <v>CE1231</v>
      </c>
      <c r="C3789" t="s">
        <v>3706</v>
      </c>
    </row>
    <row r="3790" spans="1:3" x14ac:dyDescent="0.25">
      <c r="A3790" t="str">
        <f>"0611861631050"</f>
        <v>0611861631050</v>
      </c>
      <c r="B3790" t="str">
        <f>"CE1088"</f>
        <v>CE1088</v>
      </c>
      <c r="C3790" t="s">
        <v>3707</v>
      </c>
    </row>
    <row r="3791" spans="1:3" x14ac:dyDescent="0.25">
      <c r="A3791" t="str">
        <f>"0611861632050"</f>
        <v>0611861632050</v>
      </c>
      <c r="B3791" t="str">
        <f>"CE1320"</f>
        <v>CE1320</v>
      </c>
      <c r="C3791" t="s">
        <v>3708</v>
      </c>
    </row>
    <row r="3792" spans="1:3" x14ac:dyDescent="0.25">
      <c r="A3792" t="str">
        <f>"0611861633050"</f>
        <v>0611861633050</v>
      </c>
      <c r="B3792" t="str">
        <f>"CE1089"</f>
        <v>CE1089</v>
      </c>
      <c r="C3792" t="s">
        <v>3709</v>
      </c>
    </row>
    <row r="3793" spans="1:3" x14ac:dyDescent="0.25">
      <c r="A3793" t="str">
        <f>"0611861634050"</f>
        <v>0611861634050</v>
      </c>
      <c r="B3793" t="str">
        <f>"CE1090"</f>
        <v>CE1090</v>
      </c>
      <c r="C3793" t="s">
        <v>3710</v>
      </c>
    </row>
    <row r="3794" spans="1:3" x14ac:dyDescent="0.25">
      <c r="A3794" t="str">
        <f>"0611861635050"</f>
        <v>0611861635050</v>
      </c>
      <c r="B3794" t="str">
        <f>"CE1321"</f>
        <v>CE1321</v>
      </c>
      <c r="C3794" t="s">
        <v>3711</v>
      </c>
    </row>
    <row r="3795" spans="1:3" x14ac:dyDescent="0.25">
      <c r="A3795" t="str">
        <f>"0611861636050"</f>
        <v>0611861636050</v>
      </c>
      <c r="B3795" t="str">
        <f>"CE1092"</f>
        <v>CE1092</v>
      </c>
      <c r="C3795" t="s">
        <v>3712</v>
      </c>
    </row>
    <row r="3796" spans="1:3" x14ac:dyDescent="0.25">
      <c r="A3796" t="str">
        <f>"0611861637050"</f>
        <v>0611861637050</v>
      </c>
      <c r="B3796" t="str">
        <f>"CE1093"</f>
        <v>CE1093</v>
      </c>
      <c r="C3796" t="s">
        <v>13826</v>
      </c>
    </row>
    <row r="3797" spans="1:3" x14ac:dyDescent="0.25">
      <c r="A3797" t="str">
        <f>"0611893576050"</f>
        <v>0611893576050</v>
      </c>
      <c r="B3797" t="str">
        <f>"CE1782"</f>
        <v>CE1782</v>
      </c>
      <c r="C3797" t="s">
        <v>3713</v>
      </c>
    </row>
    <row r="3798" spans="1:3" x14ac:dyDescent="0.25">
      <c r="A3798" t="str">
        <f>"0611861638050"</f>
        <v>0611861638050</v>
      </c>
      <c r="B3798" t="str">
        <f>"CE1690"</f>
        <v>CE1690</v>
      </c>
      <c r="C3798" t="s">
        <v>3714</v>
      </c>
    </row>
    <row r="3799" spans="1:3" x14ac:dyDescent="0.25">
      <c r="A3799" t="str">
        <f>"0611833696100"</f>
        <v>0611833696100</v>
      </c>
      <c r="B3799" t="str">
        <f>"LQ0524"</f>
        <v>LQ0524</v>
      </c>
      <c r="C3799" t="s">
        <v>3715</v>
      </c>
    </row>
    <row r="3800" spans="1:3" x14ac:dyDescent="0.25">
      <c r="A3800" t="str">
        <f>"0611861639050"</f>
        <v>0611861639050</v>
      </c>
      <c r="B3800" t="str">
        <f>"CR3354"</f>
        <v>CR3354</v>
      </c>
      <c r="C3800" t="s">
        <v>3716</v>
      </c>
    </row>
    <row r="3801" spans="1:3" x14ac:dyDescent="0.25">
      <c r="A3801" t="str">
        <f>"0611833697100"</f>
        <v>0611833697100</v>
      </c>
      <c r="B3801" t="str">
        <f>"LQ0525"</f>
        <v>LQ0525</v>
      </c>
      <c r="C3801" t="s">
        <v>3717</v>
      </c>
    </row>
    <row r="3802" spans="1:3" x14ac:dyDescent="0.25">
      <c r="A3802" t="str">
        <f>"0611861640050"</f>
        <v>0611861640050</v>
      </c>
      <c r="B3802" t="str">
        <f>"CR3525"</f>
        <v>CR3525</v>
      </c>
      <c r="C3802" t="s">
        <v>3718</v>
      </c>
    </row>
    <row r="3803" spans="1:3" x14ac:dyDescent="0.25">
      <c r="A3803" t="str">
        <f>"0611833698100"</f>
        <v>0611833698100</v>
      </c>
      <c r="B3803" t="str">
        <f>"LQ0566"</f>
        <v>LQ0566</v>
      </c>
      <c r="C3803" t="s">
        <v>3719</v>
      </c>
    </row>
    <row r="3804" spans="1:3" x14ac:dyDescent="0.25">
      <c r="A3804" t="str">
        <f>"0611884155100"</f>
        <v>0611884155100</v>
      </c>
      <c r="B3804" t="str">
        <f>"LQ0976"</f>
        <v>LQ0976</v>
      </c>
      <c r="C3804" t="s">
        <v>3720</v>
      </c>
    </row>
    <row r="3805" spans="1:3" x14ac:dyDescent="0.25">
      <c r="A3805" t="str">
        <f>"0611884156100"</f>
        <v>0611884156100</v>
      </c>
      <c r="B3805" t="str">
        <f>"LQ0977"</f>
        <v>LQ0977</v>
      </c>
      <c r="C3805" t="s">
        <v>3721</v>
      </c>
    </row>
    <row r="3806" spans="1:3" x14ac:dyDescent="0.25">
      <c r="A3806" t="str">
        <f>"0611833699100"</f>
        <v>0611833699100</v>
      </c>
      <c r="B3806" t="str">
        <f>"LQ0526"</f>
        <v>LQ0526</v>
      </c>
      <c r="C3806" t="s">
        <v>3722</v>
      </c>
    </row>
    <row r="3807" spans="1:3" x14ac:dyDescent="0.25">
      <c r="A3807" t="str">
        <f>"0611861641050"</f>
        <v>0611861641050</v>
      </c>
      <c r="B3807" t="str">
        <f>"CR3527"</f>
        <v>CR3527</v>
      </c>
      <c r="C3807" t="s">
        <v>3723</v>
      </c>
    </row>
    <row r="3808" spans="1:3" x14ac:dyDescent="0.25">
      <c r="A3808" t="str">
        <f>"0611833700100"</f>
        <v>0611833700100</v>
      </c>
      <c r="B3808" t="str">
        <f>"LQ0527"</f>
        <v>LQ0527</v>
      </c>
      <c r="C3808" t="s">
        <v>3724</v>
      </c>
    </row>
    <row r="3809" spans="1:3" x14ac:dyDescent="0.25">
      <c r="A3809" t="str">
        <f>"0611861642050"</f>
        <v>0611861642050</v>
      </c>
      <c r="B3809" t="str">
        <f>"CR3528"</f>
        <v>CR3528</v>
      </c>
      <c r="C3809" t="s">
        <v>3725</v>
      </c>
    </row>
    <row r="3810" spans="1:3" x14ac:dyDescent="0.25">
      <c r="A3810" t="str">
        <f>"0611833702100"</f>
        <v>0611833702100</v>
      </c>
      <c r="B3810" t="str">
        <f>"LQ0918"</f>
        <v>LQ0918</v>
      </c>
      <c r="C3810" t="s">
        <v>3726</v>
      </c>
    </row>
    <row r="3811" spans="1:3" x14ac:dyDescent="0.25">
      <c r="A3811" t="str">
        <f>"0611861643050"</f>
        <v>0611861643050</v>
      </c>
      <c r="B3811" t="str">
        <f>"CR3529"</f>
        <v>CR3529</v>
      </c>
      <c r="C3811" t="s">
        <v>3727</v>
      </c>
    </row>
    <row r="3812" spans="1:3" x14ac:dyDescent="0.25">
      <c r="A3812" t="str">
        <f>"0611833703100"</f>
        <v>0611833703100</v>
      </c>
      <c r="B3812" t="str">
        <f>"LQ0568"</f>
        <v>LQ0568</v>
      </c>
      <c r="C3812" t="s">
        <v>3728</v>
      </c>
    </row>
    <row r="3813" spans="1:3" x14ac:dyDescent="0.25">
      <c r="A3813" t="str">
        <f>"0611884157100"</f>
        <v>0611884157100</v>
      </c>
      <c r="B3813" t="str">
        <f>"LQ0978"</f>
        <v>LQ0978</v>
      </c>
      <c r="C3813" t="s">
        <v>3729</v>
      </c>
    </row>
    <row r="3814" spans="1:3" x14ac:dyDescent="0.25">
      <c r="A3814" t="str">
        <f>"0611833704100"</f>
        <v>0611833704100</v>
      </c>
      <c r="B3814" t="str">
        <f>"LQ0569"</f>
        <v>LQ0569</v>
      </c>
      <c r="C3814" t="s">
        <v>3730</v>
      </c>
    </row>
    <row r="3815" spans="1:3" x14ac:dyDescent="0.25">
      <c r="A3815" t="str">
        <f>"0611861645050"</f>
        <v>0611861645050</v>
      </c>
      <c r="B3815" t="str">
        <f>"CR2932"</f>
        <v>CR2932</v>
      </c>
      <c r="C3815" t="s">
        <v>3731</v>
      </c>
    </row>
    <row r="3816" spans="1:3" x14ac:dyDescent="0.25">
      <c r="A3816" t="str">
        <f>"0611861646050"</f>
        <v>0611861646050</v>
      </c>
      <c r="B3816" t="str">
        <f>"CR4820"</f>
        <v>CR4820</v>
      </c>
      <c r="C3816" t="s">
        <v>3732</v>
      </c>
    </row>
    <row r="3817" spans="1:3" x14ac:dyDescent="0.25">
      <c r="A3817" t="str">
        <f>"0611906559050"</f>
        <v>0611906559050</v>
      </c>
      <c r="B3817" t="str">
        <f>"CR5487"</f>
        <v>CR5487</v>
      </c>
      <c r="C3817" t="s">
        <v>3733</v>
      </c>
    </row>
    <row r="3818" spans="1:3" x14ac:dyDescent="0.25">
      <c r="A3818" t="str">
        <f>"0611861647050"</f>
        <v>0611861647050</v>
      </c>
      <c r="B3818" t="str">
        <f>"CR4823"</f>
        <v>CR4823</v>
      </c>
      <c r="C3818" t="s">
        <v>3734</v>
      </c>
    </row>
    <row r="3819" spans="1:3" x14ac:dyDescent="0.25">
      <c r="A3819" t="str">
        <f>"0611893577050"</f>
        <v>0611893577050</v>
      </c>
      <c r="B3819" t="str">
        <f>"CR5064"</f>
        <v>CR5064</v>
      </c>
      <c r="C3819" t="s">
        <v>3735</v>
      </c>
    </row>
    <row r="3820" spans="1:3" x14ac:dyDescent="0.25">
      <c r="A3820" t="str">
        <f>"0611861649050"</f>
        <v>0611861649050</v>
      </c>
      <c r="B3820" t="str">
        <f>"CR4821"</f>
        <v>CR4821</v>
      </c>
      <c r="C3820" t="s">
        <v>3736</v>
      </c>
    </row>
    <row r="3821" spans="1:3" x14ac:dyDescent="0.25">
      <c r="A3821" t="str">
        <f>"0611861650050"</f>
        <v>0611861650050</v>
      </c>
      <c r="B3821" t="str">
        <f>"CR4819"</f>
        <v>CR4819</v>
      </c>
      <c r="C3821" t="s">
        <v>3737</v>
      </c>
    </row>
    <row r="3822" spans="1:3" x14ac:dyDescent="0.25">
      <c r="A3822" t="str">
        <f>"0611861651050"</f>
        <v>0611861651050</v>
      </c>
      <c r="B3822" t="str">
        <f>"CR4818"</f>
        <v>CR4818</v>
      </c>
      <c r="C3822" t="s">
        <v>3738</v>
      </c>
    </row>
    <row r="3823" spans="1:3" x14ac:dyDescent="0.25">
      <c r="A3823" t="str">
        <f>"0611861652050"</f>
        <v>0611861652050</v>
      </c>
      <c r="B3823" t="str">
        <f>"CR4822"</f>
        <v>CR4822</v>
      </c>
      <c r="C3823" t="s">
        <v>3739</v>
      </c>
    </row>
    <row r="3824" spans="1:3" x14ac:dyDescent="0.25">
      <c r="A3824" t="str">
        <f>"0611861653050"</f>
        <v>0611861653050</v>
      </c>
      <c r="B3824" t="str">
        <f>"CR4817"</f>
        <v>CR4817</v>
      </c>
      <c r="C3824" t="s">
        <v>3740</v>
      </c>
    </row>
    <row r="3825" spans="1:3" x14ac:dyDescent="0.25">
      <c r="A3825" t="str">
        <f>"0611833705100"</f>
        <v>0611833705100</v>
      </c>
      <c r="B3825" t="str">
        <f>"LQ3527"</f>
        <v>LQ3527</v>
      </c>
      <c r="C3825" t="s">
        <v>3741</v>
      </c>
    </row>
    <row r="3826" spans="1:3" x14ac:dyDescent="0.25">
      <c r="A3826" t="str">
        <f>"0611833706100"</f>
        <v>0611833706100</v>
      </c>
      <c r="B3826" t="str">
        <f>"LB2430"</f>
        <v>LB2430</v>
      </c>
      <c r="C3826" t="s">
        <v>3742</v>
      </c>
    </row>
    <row r="3827" spans="1:3" x14ac:dyDescent="0.25">
      <c r="A3827" t="str">
        <f>"0611884158050"</f>
        <v>0611884158050</v>
      </c>
      <c r="B3827" t="str">
        <f>"CR5390"</f>
        <v>CR5390</v>
      </c>
      <c r="C3827" t="s">
        <v>3743</v>
      </c>
    </row>
    <row r="3828" spans="1:3" x14ac:dyDescent="0.25">
      <c r="A3828" t="str">
        <f>"0611884159050"</f>
        <v>0611884159050</v>
      </c>
      <c r="B3828" t="str">
        <f>"CR5391"</f>
        <v>CR5391</v>
      </c>
      <c r="C3828" t="s">
        <v>3744</v>
      </c>
    </row>
    <row r="3829" spans="1:3" x14ac:dyDescent="0.25">
      <c r="A3829" t="str">
        <f>"0611884160050"</f>
        <v>0611884160050</v>
      </c>
      <c r="B3829" t="str">
        <f>"CR5349"</f>
        <v>CR5349</v>
      </c>
      <c r="C3829" t="s">
        <v>3745</v>
      </c>
    </row>
    <row r="3830" spans="1:3" x14ac:dyDescent="0.25">
      <c r="A3830" t="str">
        <f>"0611884161050"</f>
        <v>0611884161050</v>
      </c>
      <c r="B3830" t="str">
        <f>"CR5350"</f>
        <v>CR5350</v>
      </c>
      <c r="C3830" t="s">
        <v>3746</v>
      </c>
    </row>
    <row r="3831" spans="1:3" x14ac:dyDescent="0.25">
      <c r="A3831" t="str">
        <f>"0611884162050"</f>
        <v>0611884162050</v>
      </c>
      <c r="B3831" t="str">
        <f>"CR5377"</f>
        <v>CR5377</v>
      </c>
      <c r="C3831" t="s">
        <v>3747</v>
      </c>
    </row>
    <row r="3832" spans="1:3" x14ac:dyDescent="0.25">
      <c r="A3832" t="str">
        <f>"0611861654050"</f>
        <v>0611861654050</v>
      </c>
      <c r="B3832" t="str">
        <f>"CE1322"</f>
        <v>CE1322</v>
      </c>
      <c r="C3832" t="s">
        <v>3748</v>
      </c>
    </row>
    <row r="3833" spans="1:3" x14ac:dyDescent="0.25">
      <c r="A3833" t="str">
        <f>"0611861655050"</f>
        <v>0611861655050</v>
      </c>
      <c r="B3833" t="str">
        <f>"CR2184"</f>
        <v>CR2184</v>
      </c>
      <c r="C3833" t="s">
        <v>3749</v>
      </c>
    </row>
    <row r="3834" spans="1:3" x14ac:dyDescent="0.25">
      <c r="A3834" t="str">
        <f>"0611861656050"</f>
        <v>0611861656050</v>
      </c>
      <c r="B3834" t="str">
        <f>"CR3213"</f>
        <v>CR3213</v>
      </c>
      <c r="C3834" t="s">
        <v>3750</v>
      </c>
    </row>
    <row r="3835" spans="1:3" x14ac:dyDescent="0.25">
      <c r="A3835" t="str">
        <f>"0611861657050"</f>
        <v>0611861657050</v>
      </c>
      <c r="B3835" t="str">
        <f>"CR2186"</f>
        <v>CR2186</v>
      </c>
      <c r="C3835" t="s">
        <v>3751</v>
      </c>
    </row>
    <row r="3836" spans="1:3" x14ac:dyDescent="0.25">
      <c r="A3836" t="str">
        <f>"0611861658050"</f>
        <v>0611861658050</v>
      </c>
      <c r="B3836" t="str">
        <f>"CR3530"</f>
        <v>CR3530</v>
      </c>
      <c r="C3836" t="s">
        <v>3752</v>
      </c>
    </row>
    <row r="3837" spans="1:3" x14ac:dyDescent="0.25">
      <c r="A3837" t="str">
        <f>"0611861660050"</f>
        <v>0611861660050</v>
      </c>
      <c r="B3837" t="str">
        <f>"CR2187"</f>
        <v>CR2187</v>
      </c>
      <c r="C3837" t="s">
        <v>3753</v>
      </c>
    </row>
    <row r="3838" spans="1:3" x14ac:dyDescent="0.25">
      <c r="A3838" t="str">
        <f>"0611861661050"</f>
        <v>0611861661050</v>
      </c>
      <c r="B3838" t="str">
        <f>"CR2934"</f>
        <v>CR2934</v>
      </c>
      <c r="C3838" t="s">
        <v>3754</v>
      </c>
    </row>
    <row r="3839" spans="1:3" x14ac:dyDescent="0.25">
      <c r="A3839" t="str">
        <f>"0611861662050"</f>
        <v>0611861662050</v>
      </c>
      <c r="B3839" t="str">
        <f>"CR2158"</f>
        <v>CR2158</v>
      </c>
      <c r="C3839" t="s">
        <v>3755</v>
      </c>
    </row>
    <row r="3840" spans="1:3" x14ac:dyDescent="0.25">
      <c r="A3840" t="str">
        <f>"0611861663050"</f>
        <v>0611861663050</v>
      </c>
      <c r="B3840" t="str">
        <f>"CR3884"</f>
        <v>CR3884</v>
      </c>
      <c r="C3840" t="s">
        <v>3756</v>
      </c>
    </row>
    <row r="3841" spans="1:3" x14ac:dyDescent="0.25">
      <c r="A3841" t="str">
        <f>"0611861664050"</f>
        <v>0611861664050</v>
      </c>
      <c r="B3841" t="str">
        <f>"CR2936"</f>
        <v>CR2936</v>
      </c>
      <c r="C3841" t="s">
        <v>3757</v>
      </c>
    </row>
    <row r="3842" spans="1:3" x14ac:dyDescent="0.25">
      <c r="A3842" t="str">
        <f>"0611861665050"</f>
        <v>0611861665050</v>
      </c>
      <c r="B3842" t="str">
        <f>"CR3972"</f>
        <v>CR3972</v>
      </c>
      <c r="C3842" t="s">
        <v>3758</v>
      </c>
    </row>
    <row r="3843" spans="1:3" x14ac:dyDescent="0.25">
      <c r="A3843" t="str">
        <f>"0611861666050"</f>
        <v>0611861666050</v>
      </c>
      <c r="B3843" t="str">
        <f>"CR3040"</f>
        <v>CR3040</v>
      </c>
      <c r="C3843" t="s">
        <v>3759</v>
      </c>
    </row>
    <row r="3844" spans="1:3" x14ac:dyDescent="0.25">
      <c r="A3844" t="str">
        <f>"0611861667050"</f>
        <v>0611861667050</v>
      </c>
      <c r="B3844" t="str">
        <f>"CR3973"</f>
        <v>CR3973</v>
      </c>
      <c r="C3844" t="s">
        <v>3760</v>
      </c>
    </row>
    <row r="3845" spans="1:3" x14ac:dyDescent="0.25">
      <c r="A3845" t="str">
        <f>"0611861668050"</f>
        <v>0611861668050</v>
      </c>
      <c r="B3845" t="str">
        <f>"CR3041"</f>
        <v>CR3041</v>
      </c>
      <c r="C3845" t="s">
        <v>3761</v>
      </c>
    </row>
    <row r="3846" spans="1:3" x14ac:dyDescent="0.25">
      <c r="A3846" t="str">
        <f>"0611861669050"</f>
        <v>0611861669050</v>
      </c>
      <c r="B3846" t="str">
        <f>"CR3974"</f>
        <v>CR3974</v>
      </c>
      <c r="C3846" t="s">
        <v>3762</v>
      </c>
    </row>
    <row r="3847" spans="1:3" x14ac:dyDescent="0.25">
      <c r="A3847" t="str">
        <f>"0611861670050"</f>
        <v>0611861670050</v>
      </c>
      <c r="B3847" t="str">
        <f>"CR2633"</f>
        <v>CR2633</v>
      </c>
      <c r="C3847" t="s">
        <v>3763</v>
      </c>
    </row>
    <row r="3848" spans="1:3" x14ac:dyDescent="0.25">
      <c r="A3848" t="str">
        <f>"0611861671050"</f>
        <v>0611861671050</v>
      </c>
      <c r="B3848" t="str">
        <f>"CR2188"</f>
        <v>CR2188</v>
      </c>
      <c r="C3848" t="s">
        <v>3764</v>
      </c>
    </row>
    <row r="3849" spans="1:3" x14ac:dyDescent="0.25">
      <c r="A3849" t="str">
        <f>"0611861672050"</f>
        <v>0611861672050</v>
      </c>
      <c r="B3849" t="str">
        <f>"CR3678"</f>
        <v>CR3678</v>
      </c>
      <c r="C3849" t="s">
        <v>3765</v>
      </c>
    </row>
    <row r="3850" spans="1:3" x14ac:dyDescent="0.25">
      <c r="A3850" t="str">
        <f>"0611861673050"</f>
        <v>0611861673050</v>
      </c>
      <c r="B3850" t="str">
        <f>"CR4770"</f>
        <v>CR4770</v>
      </c>
      <c r="C3850" t="s">
        <v>3766</v>
      </c>
    </row>
    <row r="3851" spans="1:3" x14ac:dyDescent="0.25">
      <c r="A3851" t="str">
        <f>"0611861674050"</f>
        <v>0611861674050</v>
      </c>
      <c r="B3851" t="str">
        <f>"CR3679"</f>
        <v>CR3679</v>
      </c>
      <c r="C3851" t="s">
        <v>3767</v>
      </c>
    </row>
    <row r="3852" spans="1:3" x14ac:dyDescent="0.25">
      <c r="A3852" t="str">
        <f>"0611861675050"</f>
        <v>0611861675050</v>
      </c>
      <c r="B3852" t="str">
        <f>"CR2189"</f>
        <v>CR2189</v>
      </c>
      <c r="C3852" t="s">
        <v>3768</v>
      </c>
    </row>
    <row r="3853" spans="1:3" x14ac:dyDescent="0.25">
      <c r="A3853" t="str">
        <f>"0611884163050"</f>
        <v>0611884163050</v>
      </c>
      <c r="B3853" t="str">
        <f>"CR5411"</f>
        <v>CR5411</v>
      </c>
      <c r="C3853" t="s">
        <v>3769</v>
      </c>
    </row>
    <row r="3854" spans="1:3" x14ac:dyDescent="0.25">
      <c r="A3854" t="str">
        <f>"0611861676050"</f>
        <v>0611861676050</v>
      </c>
      <c r="B3854" t="str">
        <f>"CR2190"</f>
        <v>CR2190</v>
      </c>
      <c r="C3854" t="s">
        <v>3770</v>
      </c>
    </row>
    <row r="3855" spans="1:3" x14ac:dyDescent="0.25">
      <c r="A3855" t="str">
        <f>"0611861677050"</f>
        <v>0611861677050</v>
      </c>
      <c r="B3855" t="str">
        <f>"CR4824"</f>
        <v>CR4824</v>
      </c>
      <c r="C3855" t="s">
        <v>3771</v>
      </c>
    </row>
    <row r="3856" spans="1:3" x14ac:dyDescent="0.25">
      <c r="A3856" t="str">
        <f>"0611861678050"</f>
        <v>0611861678050</v>
      </c>
      <c r="B3856" t="str">
        <f>"CR5183"</f>
        <v>CR5183</v>
      </c>
      <c r="C3856" t="s">
        <v>3772</v>
      </c>
    </row>
    <row r="3857" spans="1:3" x14ac:dyDescent="0.25">
      <c r="A3857" t="str">
        <f>"0611861679050"</f>
        <v>0611861679050</v>
      </c>
      <c r="B3857" t="str">
        <f>"CR2191"</f>
        <v>CR2191</v>
      </c>
      <c r="C3857" t="s">
        <v>3773</v>
      </c>
    </row>
    <row r="3858" spans="1:3" x14ac:dyDescent="0.25">
      <c r="A3858" t="str">
        <f>"0611861680050"</f>
        <v>0611861680050</v>
      </c>
      <c r="B3858" t="str">
        <f>"CR5184"</f>
        <v>CR5184</v>
      </c>
      <c r="C3858" t="s">
        <v>3774</v>
      </c>
    </row>
    <row r="3859" spans="1:3" x14ac:dyDescent="0.25">
      <c r="A3859" t="str">
        <f>"0611861681050"</f>
        <v>0611861681050</v>
      </c>
      <c r="B3859" t="str">
        <f>"CR2819"</f>
        <v>CR2819</v>
      </c>
      <c r="C3859" t="s">
        <v>3775</v>
      </c>
    </row>
    <row r="3860" spans="1:3" x14ac:dyDescent="0.25">
      <c r="A3860" t="str">
        <f>"0611861682050"</f>
        <v>0611861682050</v>
      </c>
      <c r="B3860" t="str">
        <f>"CR3680"</f>
        <v>CR3680</v>
      </c>
      <c r="C3860" t="s">
        <v>3776</v>
      </c>
    </row>
    <row r="3861" spans="1:3" x14ac:dyDescent="0.25">
      <c r="A3861" t="str">
        <f>"0611861683050"</f>
        <v>0611861683050</v>
      </c>
      <c r="B3861" t="str">
        <f>"CR2192"</f>
        <v>CR2192</v>
      </c>
      <c r="C3861" t="s">
        <v>3777</v>
      </c>
    </row>
    <row r="3862" spans="1:3" x14ac:dyDescent="0.25">
      <c r="A3862" t="str">
        <f>"0611884164050"</f>
        <v>0611884164050</v>
      </c>
      <c r="B3862" t="str">
        <f>"CR5419"</f>
        <v>CR5419</v>
      </c>
      <c r="C3862" t="s">
        <v>3778</v>
      </c>
    </row>
    <row r="3863" spans="1:3" x14ac:dyDescent="0.25">
      <c r="A3863" t="str">
        <f>"0611861684050"</f>
        <v>0611861684050</v>
      </c>
      <c r="B3863" t="str">
        <f>"CR2193"</f>
        <v>CR2193</v>
      </c>
      <c r="C3863" t="s">
        <v>3779</v>
      </c>
    </row>
    <row r="3864" spans="1:3" x14ac:dyDescent="0.25">
      <c r="A3864" t="str">
        <f>"0611861685050"</f>
        <v>0611861685050</v>
      </c>
      <c r="B3864" t="str">
        <f>"CR3681"</f>
        <v>CR3681</v>
      </c>
      <c r="C3864" t="s">
        <v>3780</v>
      </c>
    </row>
    <row r="3865" spans="1:3" x14ac:dyDescent="0.25">
      <c r="A3865" t="str">
        <f>"0611861686050"</f>
        <v>0611861686050</v>
      </c>
      <c r="B3865" t="str">
        <f>"CR2194"</f>
        <v>CR2194</v>
      </c>
      <c r="C3865" t="s">
        <v>3781</v>
      </c>
    </row>
    <row r="3866" spans="1:3" x14ac:dyDescent="0.25">
      <c r="A3866" t="str">
        <f>"0611861687050"</f>
        <v>0611861687050</v>
      </c>
      <c r="B3866" t="str">
        <f>"CR5185"</f>
        <v>CR5185</v>
      </c>
      <c r="C3866" t="s">
        <v>3782</v>
      </c>
    </row>
    <row r="3867" spans="1:3" x14ac:dyDescent="0.25">
      <c r="A3867" t="str">
        <f>"0611861688050"</f>
        <v>0611861688050</v>
      </c>
      <c r="B3867" t="str">
        <f>"CR2195"</f>
        <v>CR2195</v>
      </c>
      <c r="C3867" t="s">
        <v>3783</v>
      </c>
    </row>
    <row r="3868" spans="1:3" x14ac:dyDescent="0.25">
      <c r="A3868" t="str">
        <f>"0611834086100"</f>
        <v>0611834086100</v>
      </c>
      <c r="B3868" t="str">
        <f>"LB2600"</f>
        <v>LB2600</v>
      </c>
      <c r="C3868" t="s">
        <v>3784</v>
      </c>
    </row>
    <row r="3869" spans="1:3" x14ac:dyDescent="0.25">
      <c r="A3869" t="str">
        <f>"0611833708100"</f>
        <v>0611833708100</v>
      </c>
      <c r="B3869" t="str">
        <f>"LK2615"</f>
        <v>LK2615</v>
      </c>
      <c r="C3869" t="s">
        <v>3785</v>
      </c>
    </row>
    <row r="3870" spans="1:3" x14ac:dyDescent="0.25">
      <c r="A3870" t="str">
        <f>"0611833709100"</f>
        <v>0611833709100</v>
      </c>
      <c r="B3870" t="str">
        <f>"LK2616"</f>
        <v>LK2616</v>
      </c>
      <c r="C3870" t="s">
        <v>3786</v>
      </c>
    </row>
    <row r="3871" spans="1:3" x14ac:dyDescent="0.25">
      <c r="A3871" t="str">
        <f>"0611833710100"</f>
        <v>0611833710100</v>
      </c>
      <c r="B3871" t="str">
        <f>"LK2617"</f>
        <v>LK2617</v>
      </c>
      <c r="C3871" t="s">
        <v>3787</v>
      </c>
    </row>
    <row r="3872" spans="1:3" x14ac:dyDescent="0.25">
      <c r="A3872" t="str">
        <f>"0611833711100"</f>
        <v>0611833711100</v>
      </c>
      <c r="B3872" t="str">
        <f>"LK0115"</f>
        <v>LK0115</v>
      </c>
      <c r="C3872" t="s">
        <v>3788</v>
      </c>
    </row>
    <row r="3873" spans="1:3" x14ac:dyDescent="0.25">
      <c r="A3873" t="str">
        <f>"0611833713100"</f>
        <v>0611833713100</v>
      </c>
      <c r="B3873" t="str">
        <f>"LK1548"</f>
        <v>LK1548</v>
      </c>
      <c r="C3873" t="s">
        <v>3789</v>
      </c>
    </row>
    <row r="3874" spans="1:3" x14ac:dyDescent="0.25">
      <c r="A3874" t="str">
        <f>"0611833714100"</f>
        <v>0611833714100</v>
      </c>
      <c r="B3874" t="str">
        <f>"LK3809"</f>
        <v>LK3809</v>
      </c>
      <c r="C3874" t="s">
        <v>3790</v>
      </c>
    </row>
    <row r="3875" spans="1:3" x14ac:dyDescent="0.25">
      <c r="A3875" t="str">
        <f>"0611833712100"</f>
        <v>0611833712100</v>
      </c>
      <c r="B3875" t="str">
        <f>"LB2380"</f>
        <v>LB2380</v>
      </c>
      <c r="C3875" t="s">
        <v>3791</v>
      </c>
    </row>
    <row r="3876" spans="1:3" x14ac:dyDescent="0.25">
      <c r="A3876" t="str">
        <f>"0611833715100"</f>
        <v>0611833715100</v>
      </c>
      <c r="B3876" t="str">
        <f>"LB2381"</f>
        <v>LB2381</v>
      </c>
      <c r="C3876" t="s">
        <v>3792</v>
      </c>
    </row>
    <row r="3877" spans="1:3" x14ac:dyDescent="0.25">
      <c r="A3877" t="str">
        <f>"0611833720025"</f>
        <v>0611833720025</v>
      </c>
      <c r="B3877" t="str">
        <f>"MC3551"</f>
        <v>MC3551</v>
      </c>
      <c r="C3877" t="s">
        <v>3793</v>
      </c>
    </row>
    <row r="3878" spans="1:3" x14ac:dyDescent="0.25">
      <c r="A3878" t="str">
        <f>"0611861690100"</f>
        <v>0611861690100</v>
      </c>
      <c r="B3878" t="str">
        <f>"CN5090"</f>
        <v>CN5090</v>
      </c>
      <c r="C3878" t="s">
        <v>3794</v>
      </c>
    </row>
    <row r="3879" spans="1:3" x14ac:dyDescent="0.25">
      <c r="A3879" t="str">
        <f>"0611833721025"</f>
        <v>0611833721025</v>
      </c>
      <c r="B3879" t="str">
        <f>"MC0209"</f>
        <v>MC0209</v>
      </c>
      <c r="C3879" t="s">
        <v>3795</v>
      </c>
    </row>
    <row r="3880" spans="1:3" x14ac:dyDescent="0.25">
      <c r="A3880" t="str">
        <f>"0611833722025"</f>
        <v>0611833722025</v>
      </c>
      <c r="B3880" t="str">
        <f>"MQ0560"</f>
        <v>MQ0560</v>
      </c>
      <c r="C3880" t="s">
        <v>3796</v>
      </c>
    </row>
    <row r="3881" spans="1:3" x14ac:dyDescent="0.25">
      <c r="A3881" t="str">
        <f>"0611833723025"</f>
        <v>0611833723025</v>
      </c>
      <c r="B3881" t="str">
        <f>"MQ0487"</f>
        <v>MQ0487</v>
      </c>
      <c r="C3881" t="s">
        <v>3797</v>
      </c>
    </row>
    <row r="3882" spans="1:3" x14ac:dyDescent="0.25">
      <c r="A3882" t="str">
        <f>"0611833724025"</f>
        <v>0611833724025</v>
      </c>
      <c r="B3882" t="str">
        <f>"MQ0488"</f>
        <v>MQ0488</v>
      </c>
      <c r="C3882" t="s">
        <v>3798</v>
      </c>
    </row>
    <row r="3883" spans="1:3" x14ac:dyDescent="0.25">
      <c r="A3883" t="str">
        <f>"0611833725025"</f>
        <v>0611833725025</v>
      </c>
      <c r="B3883" t="str">
        <f>"MQ6014"</f>
        <v>MQ6014</v>
      </c>
      <c r="C3883" t="s">
        <v>3799</v>
      </c>
    </row>
    <row r="3884" spans="1:3" x14ac:dyDescent="0.25">
      <c r="A3884" t="str">
        <f>"0611884165025"</f>
        <v>0611884165025</v>
      </c>
      <c r="B3884" t="str">
        <f>"MQ0825"</f>
        <v>MQ0825</v>
      </c>
      <c r="C3884" t="s">
        <v>3800</v>
      </c>
    </row>
    <row r="3885" spans="1:3" x14ac:dyDescent="0.25">
      <c r="A3885" t="str">
        <f>"0611884166025"</f>
        <v>0611884166025</v>
      </c>
      <c r="B3885" t="str">
        <f>"MQ0826"</f>
        <v>MQ0826</v>
      </c>
      <c r="C3885" t="s">
        <v>3801</v>
      </c>
    </row>
    <row r="3886" spans="1:3" x14ac:dyDescent="0.25">
      <c r="A3886" t="str">
        <f>"0611833726025"</f>
        <v>0611833726025</v>
      </c>
      <c r="B3886" t="str">
        <f>"MQ0489"</f>
        <v>MQ0489</v>
      </c>
      <c r="C3886" t="s">
        <v>3802</v>
      </c>
    </row>
    <row r="3887" spans="1:3" x14ac:dyDescent="0.25">
      <c r="A3887" t="str">
        <f>"0611906724100"</f>
        <v>0611906724100</v>
      </c>
      <c r="B3887" t="str">
        <f>"LH8962"</f>
        <v>LH8962</v>
      </c>
      <c r="C3887" t="s">
        <v>3803</v>
      </c>
    </row>
    <row r="3888" spans="1:3" x14ac:dyDescent="0.25">
      <c r="A3888" t="str">
        <f>"0611856881025"</f>
        <v>0611856881025</v>
      </c>
      <c r="B3888" t="str">
        <f>"MQ0765"</f>
        <v>MQ0765</v>
      </c>
      <c r="C3888" t="s">
        <v>3804</v>
      </c>
    </row>
    <row r="3889" spans="1:3" x14ac:dyDescent="0.25">
      <c r="A3889" t="str">
        <f>"0611833727025"</f>
        <v>0611833727025</v>
      </c>
      <c r="B3889" t="str">
        <f>"MQ0490"</f>
        <v>MQ0490</v>
      </c>
      <c r="C3889" t="s">
        <v>3805</v>
      </c>
    </row>
    <row r="3890" spans="1:3" x14ac:dyDescent="0.25">
      <c r="A3890" t="str">
        <f>"0611833728025"</f>
        <v>0611833728025</v>
      </c>
      <c r="B3890" t="str">
        <f>"MQ6015"</f>
        <v>MQ6015</v>
      </c>
      <c r="C3890" t="s">
        <v>3806</v>
      </c>
    </row>
    <row r="3891" spans="1:3" x14ac:dyDescent="0.25">
      <c r="A3891" t="str">
        <f>"0611833729025"</f>
        <v>0611833729025</v>
      </c>
      <c r="B3891" t="str">
        <f>"MQ6016"</f>
        <v>MQ6016</v>
      </c>
      <c r="C3891" t="s">
        <v>3807</v>
      </c>
    </row>
    <row r="3892" spans="1:3" x14ac:dyDescent="0.25">
      <c r="A3892" t="str">
        <f>"0611833730100"</f>
        <v>0611833730100</v>
      </c>
      <c r="B3892" t="str">
        <f>"LH3020"</f>
        <v>LH3020</v>
      </c>
      <c r="C3892" t="s">
        <v>3808</v>
      </c>
    </row>
    <row r="3893" spans="1:3" x14ac:dyDescent="0.25">
      <c r="A3893" t="str">
        <f>"0611833733100"</f>
        <v>0611833733100</v>
      </c>
      <c r="B3893" t="str">
        <f>"LH3150"</f>
        <v>LH3150</v>
      </c>
      <c r="C3893" t="s">
        <v>3809</v>
      </c>
    </row>
    <row r="3894" spans="1:3" x14ac:dyDescent="0.25">
      <c r="A3894" t="str">
        <f>"0611833734025"</f>
        <v>0611833734025</v>
      </c>
      <c r="B3894" t="str">
        <f>"MC1608"</f>
        <v>MC1608</v>
      </c>
      <c r="C3894" t="s">
        <v>3810</v>
      </c>
    </row>
    <row r="3895" spans="1:3" x14ac:dyDescent="0.25">
      <c r="A3895" t="str">
        <f>"0611833732025"</f>
        <v>0611833732025</v>
      </c>
      <c r="B3895" t="str">
        <f>"MC3712"</f>
        <v>MC3712</v>
      </c>
      <c r="C3895" t="s">
        <v>3811</v>
      </c>
    </row>
    <row r="3896" spans="1:3" x14ac:dyDescent="0.25">
      <c r="A3896" t="str">
        <f>"0611884167025"</f>
        <v>0611884167025</v>
      </c>
      <c r="B3896" t="str">
        <f>"MQ7063"</f>
        <v>MQ7063</v>
      </c>
      <c r="C3896" t="s">
        <v>3812</v>
      </c>
    </row>
    <row r="3897" spans="1:3" x14ac:dyDescent="0.25">
      <c r="A3897" t="str">
        <f>"0611861691100"</f>
        <v>0611861691100</v>
      </c>
      <c r="B3897" t="str">
        <f>"CN5065"</f>
        <v>CN5065</v>
      </c>
      <c r="C3897" t="s">
        <v>3813</v>
      </c>
    </row>
    <row r="3898" spans="1:3" x14ac:dyDescent="0.25">
      <c r="A3898" t="str">
        <f>"0611893578100"</f>
        <v>0611893578100</v>
      </c>
      <c r="B3898" t="str">
        <f>"CN5446"</f>
        <v>CN5446</v>
      </c>
      <c r="C3898" t="s">
        <v>3814</v>
      </c>
    </row>
    <row r="3899" spans="1:3" x14ac:dyDescent="0.25">
      <c r="A3899" t="str">
        <f>"0611861692100"</f>
        <v>0611861692100</v>
      </c>
      <c r="B3899" t="str">
        <f>"CN5066"</f>
        <v>CN5066</v>
      </c>
      <c r="C3899" t="s">
        <v>3815</v>
      </c>
    </row>
    <row r="3900" spans="1:3" x14ac:dyDescent="0.25">
      <c r="A3900" t="str">
        <f>"0611884168025"</f>
        <v>0611884168025</v>
      </c>
      <c r="B3900" t="str">
        <f>"MQ7064"</f>
        <v>MQ7064</v>
      </c>
      <c r="C3900" t="s">
        <v>3816</v>
      </c>
    </row>
    <row r="3901" spans="1:3" x14ac:dyDescent="0.25">
      <c r="A3901" t="str">
        <f>"0611861693100"</f>
        <v>0611861693100</v>
      </c>
      <c r="B3901" t="str">
        <f>"CN5067"</f>
        <v>CN5067</v>
      </c>
      <c r="C3901" t="s">
        <v>3817</v>
      </c>
    </row>
    <row r="3902" spans="1:3" x14ac:dyDescent="0.25">
      <c r="A3902" t="str">
        <f>"0611884169025"</f>
        <v>0611884169025</v>
      </c>
      <c r="B3902" t="str">
        <f>"MQ7065"</f>
        <v>MQ7065</v>
      </c>
      <c r="C3902" t="s">
        <v>3818</v>
      </c>
    </row>
    <row r="3903" spans="1:3" x14ac:dyDescent="0.25">
      <c r="A3903" t="str">
        <f>"0611861695100"</f>
        <v>0611861695100</v>
      </c>
      <c r="B3903" t="str">
        <f>"CN5068"</f>
        <v>CN5068</v>
      </c>
      <c r="C3903" t="s">
        <v>3819</v>
      </c>
    </row>
    <row r="3904" spans="1:3" x14ac:dyDescent="0.25">
      <c r="A3904" t="str">
        <f>"0611884170025"</f>
        <v>0611884170025</v>
      </c>
      <c r="B3904" t="str">
        <f>"MQ7066"</f>
        <v>MQ7066</v>
      </c>
      <c r="C3904" t="s">
        <v>3820</v>
      </c>
    </row>
    <row r="3905" spans="1:3" x14ac:dyDescent="0.25">
      <c r="A3905" t="str">
        <f>"0611861696100"</f>
        <v>0611861696100</v>
      </c>
      <c r="B3905" t="str">
        <f>"CN5069"</f>
        <v>CN5069</v>
      </c>
      <c r="C3905" t="s">
        <v>3821</v>
      </c>
    </row>
    <row r="3906" spans="1:3" x14ac:dyDescent="0.25">
      <c r="A3906" t="str">
        <f>"0611884171025"</f>
        <v>0611884171025</v>
      </c>
      <c r="B3906" t="str">
        <f>"MQ7067"</f>
        <v>MQ7067</v>
      </c>
      <c r="C3906" t="s">
        <v>3822</v>
      </c>
    </row>
    <row r="3907" spans="1:3" x14ac:dyDescent="0.25">
      <c r="A3907" t="str">
        <f>"0611861697100"</f>
        <v>0611861697100</v>
      </c>
      <c r="B3907" t="str">
        <f>"CN5070"</f>
        <v>CN5070</v>
      </c>
      <c r="C3907" t="s">
        <v>3823</v>
      </c>
    </row>
    <row r="3908" spans="1:3" x14ac:dyDescent="0.25">
      <c r="A3908" t="str">
        <f>"0611884172025"</f>
        <v>0611884172025</v>
      </c>
      <c r="B3908" t="str">
        <f>"MQ7068"</f>
        <v>MQ7068</v>
      </c>
      <c r="C3908" t="s">
        <v>3824</v>
      </c>
    </row>
    <row r="3909" spans="1:3" x14ac:dyDescent="0.25">
      <c r="A3909" t="str">
        <f>"0611861698100"</f>
        <v>0611861698100</v>
      </c>
      <c r="B3909" t="str">
        <f>"CN5071"</f>
        <v>CN5071</v>
      </c>
      <c r="C3909" t="s">
        <v>3825</v>
      </c>
    </row>
    <row r="3910" spans="1:3" x14ac:dyDescent="0.25">
      <c r="A3910" t="str">
        <f>"0611884173025"</f>
        <v>0611884173025</v>
      </c>
      <c r="B3910" t="str">
        <f>"MQ7069"</f>
        <v>MQ7069</v>
      </c>
      <c r="C3910" t="s">
        <v>3826</v>
      </c>
    </row>
    <row r="3911" spans="1:3" x14ac:dyDescent="0.25">
      <c r="A3911" t="str">
        <f>"0611861700100"</f>
        <v>0611861700100</v>
      </c>
      <c r="B3911" t="str">
        <f>"CN5072"</f>
        <v>CN5072</v>
      </c>
      <c r="C3911" t="s">
        <v>3827</v>
      </c>
    </row>
    <row r="3912" spans="1:3" x14ac:dyDescent="0.25">
      <c r="A3912" t="str">
        <f>"0611884174025"</f>
        <v>0611884174025</v>
      </c>
      <c r="B3912" t="str">
        <f>"MQ7070"</f>
        <v>MQ7070</v>
      </c>
      <c r="C3912" t="s">
        <v>3828</v>
      </c>
    </row>
    <row r="3913" spans="1:3" x14ac:dyDescent="0.25">
      <c r="A3913" t="str">
        <f>"0611884175100"</f>
        <v>0611884175100</v>
      </c>
      <c r="B3913" t="str">
        <f>"LH0024"</f>
        <v>LH0024</v>
      </c>
      <c r="C3913" t="s">
        <v>3829</v>
      </c>
    </row>
    <row r="3914" spans="1:3" x14ac:dyDescent="0.25">
      <c r="A3914" t="str">
        <f>"0611893579100"</f>
        <v>0611893579100</v>
      </c>
      <c r="B3914" t="str">
        <f>"CN5445"</f>
        <v>CN5445</v>
      </c>
      <c r="C3914" t="s">
        <v>3830</v>
      </c>
    </row>
    <row r="3915" spans="1:3" x14ac:dyDescent="0.25">
      <c r="A3915" t="str">
        <f>"0611861702100"</f>
        <v>0611861702100</v>
      </c>
      <c r="B3915" t="str">
        <f>"CN5073"</f>
        <v>CN5073</v>
      </c>
      <c r="C3915" t="s">
        <v>3831</v>
      </c>
    </row>
    <row r="3916" spans="1:3" x14ac:dyDescent="0.25">
      <c r="A3916" t="str">
        <f>"0611884176025"</f>
        <v>0611884176025</v>
      </c>
      <c r="B3916" t="str">
        <f>"MQ7071"</f>
        <v>MQ7071</v>
      </c>
      <c r="C3916" t="s">
        <v>3832</v>
      </c>
    </row>
    <row r="3917" spans="1:3" x14ac:dyDescent="0.25">
      <c r="A3917" t="str">
        <f>"0611856882025"</f>
        <v>0611856882025</v>
      </c>
      <c r="B3917" t="str">
        <f>"MQ0766"</f>
        <v>MQ0766</v>
      </c>
      <c r="C3917" t="s">
        <v>3833</v>
      </c>
    </row>
    <row r="3918" spans="1:3" x14ac:dyDescent="0.25">
      <c r="A3918" t="str">
        <f>"0611833735025"</f>
        <v>0611833735025</v>
      </c>
      <c r="B3918" t="str">
        <f>"MQ0698"</f>
        <v>MQ0698</v>
      </c>
      <c r="C3918" t="s">
        <v>3834</v>
      </c>
    </row>
    <row r="3919" spans="1:3" x14ac:dyDescent="0.25">
      <c r="A3919" t="str">
        <f>"0611833736025"</f>
        <v>0611833736025</v>
      </c>
      <c r="B3919" t="str">
        <f>"MQ0699"</f>
        <v>MQ0699</v>
      </c>
      <c r="C3919" t="s">
        <v>3835</v>
      </c>
    </row>
    <row r="3920" spans="1:3" x14ac:dyDescent="0.25">
      <c r="A3920" t="str">
        <f>"0611833737025"</f>
        <v>0611833737025</v>
      </c>
      <c r="B3920" t="str">
        <f>"MQ0700"</f>
        <v>MQ0700</v>
      </c>
      <c r="C3920" t="s">
        <v>3836</v>
      </c>
    </row>
    <row r="3921" spans="1:3" x14ac:dyDescent="0.25">
      <c r="A3921" t="str">
        <f>"0611906725025"</f>
        <v>0611906725025</v>
      </c>
      <c r="B3921" t="str">
        <f>"MQ7585"</f>
        <v>MQ7585</v>
      </c>
      <c r="C3921" t="s">
        <v>3837</v>
      </c>
    </row>
    <row r="3922" spans="1:3" x14ac:dyDescent="0.25">
      <c r="A3922" t="str">
        <f>"0611856883025"</f>
        <v>0611856883025</v>
      </c>
      <c r="B3922" t="str">
        <f>"MQ0767"</f>
        <v>MQ0767</v>
      </c>
      <c r="C3922" t="s">
        <v>3838</v>
      </c>
    </row>
    <row r="3923" spans="1:3" x14ac:dyDescent="0.25">
      <c r="A3923" t="str">
        <f>"0611884177100"</f>
        <v>0611884177100</v>
      </c>
      <c r="B3923" t="str">
        <f>"LK7145"</f>
        <v>LK7145</v>
      </c>
      <c r="C3923" t="s">
        <v>3839</v>
      </c>
    </row>
    <row r="3924" spans="1:3" x14ac:dyDescent="0.25">
      <c r="A3924" t="str">
        <f>"0611893580100"</f>
        <v>0611893580100</v>
      </c>
      <c r="B3924" t="str">
        <f>"CN5471"</f>
        <v>CN5471</v>
      </c>
      <c r="C3924" t="s">
        <v>3840</v>
      </c>
    </row>
    <row r="3925" spans="1:3" x14ac:dyDescent="0.25">
      <c r="A3925" t="str">
        <f>"0611893581100"</f>
        <v>0611893581100</v>
      </c>
      <c r="B3925" t="str">
        <f>"CN5470"</f>
        <v>CN5470</v>
      </c>
      <c r="C3925" t="s">
        <v>3841</v>
      </c>
    </row>
    <row r="3926" spans="1:3" x14ac:dyDescent="0.25">
      <c r="A3926" t="str">
        <f>"0611861703100"</f>
        <v>0611861703100</v>
      </c>
      <c r="B3926" t="str">
        <f>"CN5075"</f>
        <v>CN5075</v>
      </c>
      <c r="C3926" t="s">
        <v>3842</v>
      </c>
    </row>
    <row r="3927" spans="1:3" x14ac:dyDescent="0.25">
      <c r="A3927" t="str">
        <f>"0611861704100"</f>
        <v>0611861704100</v>
      </c>
      <c r="B3927" t="str">
        <f>"CN5074"</f>
        <v>CN5074</v>
      </c>
      <c r="C3927" t="s">
        <v>3843</v>
      </c>
    </row>
    <row r="3928" spans="1:3" x14ac:dyDescent="0.25">
      <c r="A3928" t="str">
        <f>"0611861705050"</f>
        <v>0611861705050</v>
      </c>
      <c r="B3928" t="str">
        <f>"CR4256"</f>
        <v>CR4256</v>
      </c>
      <c r="C3928" t="s">
        <v>13827</v>
      </c>
    </row>
    <row r="3929" spans="1:3" x14ac:dyDescent="0.25">
      <c r="A3929" t="str">
        <f>"0611861706050"</f>
        <v>0611861706050</v>
      </c>
      <c r="B3929" t="str">
        <f>"CR4257"</f>
        <v>CR4257</v>
      </c>
      <c r="C3929" t="s">
        <v>13828</v>
      </c>
    </row>
    <row r="3930" spans="1:3" x14ac:dyDescent="0.25">
      <c r="A3930" t="str">
        <f>"0611893582100"</f>
        <v>0611893582100</v>
      </c>
      <c r="B3930" t="str">
        <f>"CN5473"</f>
        <v>CN5473</v>
      </c>
      <c r="C3930" t="s">
        <v>3844</v>
      </c>
    </row>
    <row r="3931" spans="1:3" x14ac:dyDescent="0.25">
      <c r="A3931" t="str">
        <f>"0611861709100"</f>
        <v>0611861709100</v>
      </c>
      <c r="B3931" t="str">
        <f>"CN5077"</f>
        <v>CN5077</v>
      </c>
      <c r="C3931" t="s">
        <v>3845</v>
      </c>
    </row>
    <row r="3932" spans="1:3" x14ac:dyDescent="0.25">
      <c r="A3932" t="str">
        <f>"0611861710050"</f>
        <v>0611861710050</v>
      </c>
      <c r="B3932" t="str">
        <f>"CR4259"</f>
        <v>CR4259</v>
      </c>
      <c r="C3932" t="s">
        <v>13829</v>
      </c>
    </row>
    <row r="3933" spans="1:3" x14ac:dyDescent="0.25">
      <c r="A3933" t="str">
        <f>"0611893583100"</f>
        <v>0611893583100</v>
      </c>
      <c r="B3933" t="str">
        <f>"CN5474"</f>
        <v>CN5474</v>
      </c>
      <c r="C3933" t="s">
        <v>3846</v>
      </c>
    </row>
    <row r="3934" spans="1:3" x14ac:dyDescent="0.25">
      <c r="A3934" t="str">
        <f>"0611861713100"</f>
        <v>0611861713100</v>
      </c>
      <c r="B3934" t="str">
        <f>"CN5079"</f>
        <v>CN5079</v>
      </c>
      <c r="C3934" t="s">
        <v>3847</v>
      </c>
    </row>
    <row r="3935" spans="1:3" x14ac:dyDescent="0.25">
      <c r="A3935" t="str">
        <f>"0611861714100"</f>
        <v>0611861714100</v>
      </c>
      <c r="B3935" t="str">
        <f>"CN5080"</f>
        <v>CN5080</v>
      </c>
      <c r="C3935" t="s">
        <v>3848</v>
      </c>
    </row>
    <row r="3936" spans="1:3" x14ac:dyDescent="0.25">
      <c r="A3936" t="str">
        <f>"0611856884025"</f>
        <v>0611856884025</v>
      </c>
      <c r="B3936" t="str">
        <f>"MQ0768"</f>
        <v>MQ0768</v>
      </c>
      <c r="C3936" t="s">
        <v>3849</v>
      </c>
    </row>
    <row r="3937" spans="1:3" x14ac:dyDescent="0.25">
      <c r="A3937" t="str">
        <f>"0611856885025"</f>
        <v>0611856885025</v>
      </c>
      <c r="B3937" t="str">
        <f>"MQ0769"</f>
        <v>MQ0769</v>
      </c>
      <c r="C3937" t="s">
        <v>3850</v>
      </c>
    </row>
    <row r="3938" spans="1:3" x14ac:dyDescent="0.25">
      <c r="A3938" t="str">
        <f>"0611906726100"</f>
        <v>0611906726100</v>
      </c>
      <c r="B3938" t="str">
        <f>"LH8963"</f>
        <v>LH8963</v>
      </c>
      <c r="C3938" t="s">
        <v>3851</v>
      </c>
    </row>
    <row r="3939" spans="1:3" x14ac:dyDescent="0.25">
      <c r="A3939" t="str">
        <f>"0611893584100"</f>
        <v>0611893584100</v>
      </c>
      <c r="B3939" t="str">
        <f>"CN5482"</f>
        <v>CN5482</v>
      </c>
      <c r="C3939" t="s">
        <v>3852</v>
      </c>
    </row>
    <row r="3940" spans="1:3" x14ac:dyDescent="0.25">
      <c r="A3940" t="str">
        <f>"0611861715100"</f>
        <v>0611861715100</v>
      </c>
      <c r="B3940" t="str">
        <f>"CN5081"</f>
        <v>CN5081</v>
      </c>
      <c r="C3940" t="s">
        <v>3853</v>
      </c>
    </row>
    <row r="3941" spans="1:3" x14ac:dyDescent="0.25">
      <c r="A3941" t="str">
        <f>"0611861716050"</f>
        <v>0611861716050</v>
      </c>
      <c r="B3941" t="str">
        <f>"CR4263"</f>
        <v>CR4263</v>
      </c>
      <c r="C3941" t="s">
        <v>13830</v>
      </c>
    </row>
    <row r="3942" spans="1:3" x14ac:dyDescent="0.25">
      <c r="A3942" t="str">
        <f>"0611893585100"</f>
        <v>0611893585100</v>
      </c>
      <c r="B3942" t="str">
        <f>"CN5479"</f>
        <v>CN5479</v>
      </c>
      <c r="C3942" t="s">
        <v>3854</v>
      </c>
    </row>
    <row r="3943" spans="1:3" x14ac:dyDescent="0.25">
      <c r="A3943" t="str">
        <f>"0611893586100"</f>
        <v>0611893586100</v>
      </c>
      <c r="B3943" t="str">
        <f>"CN5480"</f>
        <v>CN5480</v>
      </c>
      <c r="C3943" t="s">
        <v>3855</v>
      </c>
    </row>
    <row r="3944" spans="1:3" x14ac:dyDescent="0.25">
      <c r="A3944" t="str">
        <f>"0611861717100"</f>
        <v>0611861717100</v>
      </c>
      <c r="B3944" t="str">
        <f>"CN5082"</f>
        <v>CN5082</v>
      </c>
      <c r="C3944" t="s">
        <v>3856</v>
      </c>
    </row>
    <row r="3945" spans="1:3" x14ac:dyDescent="0.25">
      <c r="A3945" t="str">
        <f>"0611861718050"</f>
        <v>0611861718050</v>
      </c>
      <c r="B3945" t="str">
        <f>"CR4264"</f>
        <v>CR4264</v>
      </c>
      <c r="C3945" t="s">
        <v>13831</v>
      </c>
    </row>
    <row r="3946" spans="1:3" x14ac:dyDescent="0.25">
      <c r="A3946" t="str">
        <f>"0611861719050"</f>
        <v>0611861719050</v>
      </c>
      <c r="B3946" t="str">
        <f>"CR4265"</f>
        <v>CR4265</v>
      </c>
      <c r="C3946" t="s">
        <v>3857</v>
      </c>
    </row>
    <row r="3947" spans="1:3" x14ac:dyDescent="0.25">
      <c r="A3947" t="str">
        <f>"0611893587100"</f>
        <v>0611893587100</v>
      </c>
      <c r="B3947" t="str">
        <f>"CN5478"</f>
        <v>CN5478</v>
      </c>
      <c r="C3947" t="s">
        <v>3858</v>
      </c>
    </row>
    <row r="3948" spans="1:3" x14ac:dyDescent="0.25">
      <c r="A3948" t="str">
        <f>"0611893588100"</f>
        <v>0611893588100</v>
      </c>
      <c r="B3948" t="str">
        <f>"CN5481"</f>
        <v>CN5481</v>
      </c>
      <c r="C3948" t="s">
        <v>3859</v>
      </c>
    </row>
    <row r="3949" spans="1:3" x14ac:dyDescent="0.25">
      <c r="A3949" t="str">
        <f>"0611861722100"</f>
        <v>0611861722100</v>
      </c>
      <c r="B3949" t="str">
        <f>"CN5084"</f>
        <v>CN5084</v>
      </c>
      <c r="C3949" t="s">
        <v>3860</v>
      </c>
    </row>
    <row r="3950" spans="1:3" x14ac:dyDescent="0.25">
      <c r="A3950" t="str">
        <f>"0611856886025"</f>
        <v>0611856886025</v>
      </c>
      <c r="B3950" t="str">
        <f>"MQ7075"</f>
        <v>MQ7075</v>
      </c>
      <c r="C3950" t="s">
        <v>3861</v>
      </c>
    </row>
    <row r="3951" spans="1:3" x14ac:dyDescent="0.25">
      <c r="A3951" t="str">
        <f>"0611861724100"</f>
        <v>0611861724100</v>
      </c>
      <c r="B3951" t="str">
        <f>"CN5085"</f>
        <v>CN5085</v>
      </c>
      <c r="C3951" t="s">
        <v>3862</v>
      </c>
    </row>
    <row r="3952" spans="1:3" x14ac:dyDescent="0.25">
      <c r="A3952" t="str">
        <f>"0611856887025"</f>
        <v>0611856887025</v>
      </c>
      <c r="B3952" t="str">
        <f>"MQ7076"</f>
        <v>MQ7076</v>
      </c>
      <c r="C3952" t="s">
        <v>3863</v>
      </c>
    </row>
    <row r="3953" spans="1:3" x14ac:dyDescent="0.25">
      <c r="A3953" t="str">
        <f>"0611861725100"</f>
        <v>0611861725100</v>
      </c>
      <c r="B3953" t="str">
        <f>"CN2349"</f>
        <v>CN2349</v>
      </c>
      <c r="C3953" t="s">
        <v>3865</v>
      </c>
    </row>
    <row r="3954" spans="1:3" x14ac:dyDescent="0.25">
      <c r="A3954" t="str">
        <f>"0611856888025"</f>
        <v>0611856888025</v>
      </c>
      <c r="B3954" t="str">
        <f>"MQ7424"</f>
        <v>MQ7424</v>
      </c>
      <c r="C3954" t="s">
        <v>3864</v>
      </c>
    </row>
    <row r="3955" spans="1:3" x14ac:dyDescent="0.25">
      <c r="A3955" t="str">
        <f>"0611861726100"</f>
        <v>0611861726100</v>
      </c>
      <c r="B3955" t="str">
        <f>"CN5086"</f>
        <v>CN5086</v>
      </c>
      <c r="C3955" t="s">
        <v>3866</v>
      </c>
    </row>
    <row r="3956" spans="1:3" x14ac:dyDescent="0.25">
      <c r="A3956" t="str">
        <f>"0611856889025"</f>
        <v>0611856889025</v>
      </c>
      <c r="B3956" t="str">
        <f>"MQ7077"</f>
        <v>MQ7077</v>
      </c>
      <c r="C3956" t="s">
        <v>3867</v>
      </c>
    </row>
    <row r="3957" spans="1:3" x14ac:dyDescent="0.25">
      <c r="A3957" t="str">
        <f>"0611861727100"</f>
        <v>0611861727100</v>
      </c>
      <c r="B3957" t="str">
        <f>"CN2350"</f>
        <v>CN2350</v>
      </c>
      <c r="C3957" t="s">
        <v>3868</v>
      </c>
    </row>
    <row r="3958" spans="1:3" x14ac:dyDescent="0.25">
      <c r="A3958" t="str">
        <f>"0611856890025"</f>
        <v>0611856890025</v>
      </c>
      <c r="B3958" t="str">
        <f>"MQ7425"</f>
        <v>MQ7425</v>
      </c>
      <c r="C3958" t="s">
        <v>3869</v>
      </c>
    </row>
    <row r="3959" spans="1:3" x14ac:dyDescent="0.25">
      <c r="A3959" t="str">
        <f>"0611861728100"</f>
        <v>0611861728100</v>
      </c>
      <c r="B3959" t="str">
        <f>"CN2348"</f>
        <v>CN2348</v>
      </c>
      <c r="C3959" t="s">
        <v>3870</v>
      </c>
    </row>
    <row r="3960" spans="1:3" x14ac:dyDescent="0.25">
      <c r="A3960" t="str">
        <f>"0611856891025"</f>
        <v>0611856891025</v>
      </c>
      <c r="B3960" t="str">
        <f>"MQ7426"</f>
        <v>MQ7426</v>
      </c>
      <c r="C3960" t="s">
        <v>3871</v>
      </c>
    </row>
    <row r="3961" spans="1:3" x14ac:dyDescent="0.25">
      <c r="A3961" t="str">
        <f>"0611861729100"</f>
        <v>0611861729100</v>
      </c>
      <c r="B3961" t="str">
        <f>"CN5087"</f>
        <v>CN5087</v>
      </c>
      <c r="C3961" t="s">
        <v>3872</v>
      </c>
    </row>
    <row r="3962" spans="1:3" x14ac:dyDescent="0.25">
      <c r="A3962" t="str">
        <f>"0611856892025"</f>
        <v>0611856892025</v>
      </c>
      <c r="B3962" t="str">
        <f>"MQ7078"</f>
        <v>MQ7078</v>
      </c>
      <c r="C3962" t="s">
        <v>3873</v>
      </c>
    </row>
    <row r="3963" spans="1:3" x14ac:dyDescent="0.25">
      <c r="A3963" t="str">
        <f>"0611861730100"</f>
        <v>0611861730100</v>
      </c>
      <c r="B3963" t="str">
        <f>"CN2351"</f>
        <v>CN2351</v>
      </c>
      <c r="C3963" t="s">
        <v>3874</v>
      </c>
    </row>
    <row r="3964" spans="1:3" x14ac:dyDescent="0.25">
      <c r="A3964" t="str">
        <f>"0611906727025"</f>
        <v>0611906727025</v>
      </c>
      <c r="B3964" t="str">
        <f>"MQ0854"</f>
        <v>MQ0854</v>
      </c>
      <c r="C3964" t="s">
        <v>3880</v>
      </c>
    </row>
    <row r="3965" spans="1:3" x14ac:dyDescent="0.25">
      <c r="A3965" t="str">
        <f>"0611861731100"</f>
        <v>0611861731100</v>
      </c>
      <c r="B3965" t="str">
        <f>"CN2352"</f>
        <v>CN2352</v>
      </c>
      <c r="C3965" t="s">
        <v>3876</v>
      </c>
    </row>
    <row r="3966" spans="1:3" x14ac:dyDescent="0.25">
      <c r="A3966" t="str">
        <f>"0611856893025"</f>
        <v>0611856893025</v>
      </c>
      <c r="B3966" t="str">
        <f>"MQ7427"</f>
        <v>MQ7427</v>
      </c>
      <c r="C3966" t="s">
        <v>3875</v>
      </c>
    </row>
    <row r="3967" spans="1:3" x14ac:dyDescent="0.25">
      <c r="A3967" t="str">
        <f>"0611861732100"</f>
        <v>0611861732100</v>
      </c>
      <c r="B3967" t="str">
        <f>"CN5088"</f>
        <v>CN5088</v>
      </c>
      <c r="C3967" t="s">
        <v>3877</v>
      </c>
    </row>
    <row r="3968" spans="1:3" x14ac:dyDescent="0.25">
      <c r="A3968" t="str">
        <f>"0611856894025"</f>
        <v>0611856894025</v>
      </c>
      <c r="B3968" t="str">
        <f>"MQ7079"</f>
        <v>MQ7079</v>
      </c>
      <c r="C3968" t="s">
        <v>3878</v>
      </c>
    </row>
    <row r="3969" spans="1:3" x14ac:dyDescent="0.25">
      <c r="A3969" t="str">
        <f>"0611861733100"</f>
        <v>0611861733100</v>
      </c>
      <c r="B3969" t="str">
        <f>"CN5089"</f>
        <v>CN5089</v>
      </c>
      <c r="C3969" t="s">
        <v>3879</v>
      </c>
    </row>
    <row r="3970" spans="1:3" x14ac:dyDescent="0.25">
      <c r="A3970" t="str">
        <f>"0611833738100"</f>
        <v>0611833738100</v>
      </c>
      <c r="B3970" t="str">
        <f>"LH3266"</f>
        <v>LH3266</v>
      </c>
      <c r="C3970" t="s">
        <v>3881</v>
      </c>
    </row>
    <row r="3971" spans="1:3" x14ac:dyDescent="0.25">
      <c r="A3971" t="str">
        <f>"0611833739025"</f>
        <v>0611833739025</v>
      </c>
      <c r="B3971" t="str">
        <f>"MC0225"</f>
        <v>MC0225</v>
      </c>
      <c r="C3971" t="s">
        <v>3882</v>
      </c>
    </row>
    <row r="3972" spans="1:3" x14ac:dyDescent="0.25">
      <c r="A3972" t="str">
        <f>"0611833741025"</f>
        <v>0611833741025</v>
      </c>
      <c r="B3972" t="str">
        <f>"MC4156"</f>
        <v>MC4156</v>
      </c>
      <c r="C3972" t="s">
        <v>3883</v>
      </c>
    </row>
    <row r="3973" spans="1:3" x14ac:dyDescent="0.25">
      <c r="A3973" t="str">
        <f>"0611833742025"</f>
        <v>0611833742025</v>
      </c>
      <c r="B3973" t="str">
        <f>"MC4157"</f>
        <v>MC4157</v>
      </c>
      <c r="C3973" t="s">
        <v>3884</v>
      </c>
    </row>
    <row r="3974" spans="1:3" x14ac:dyDescent="0.25">
      <c r="A3974" t="str">
        <f>"0611833744025"</f>
        <v>0611833744025</v>
      </c>
      <c r="B3974" t="str">
        <f>"MC4158"</f>
        <v>MC4158</v>
      </c>
      <c r="C3974" t="s">
        <v>3885</v>
      </c>
    </row>
    <row r="3975" spans="1:3" x14ac:dyDescent="0.25">
      <c r="A3975" t="str">
        <f>"0611833746025"</f>
        <v>0611833746025</v>
      </c>
      <c r="B3975" t="str">
        <f>"MC4159"</f>
        <v>MC4159</v>
      </c>
      <c r="C3975" t="s">
        <v>3886</v>
      </c>
    </row>
    <row r="3976" spans="1:3" x14ac:dyDescent="0.25">
      <c r="A3976" t="str">
        <f>"0611833747025"</f>
        <v>0611833747025</v>
      </c>
      <c r="B3976" t="str">
        <f>"MC4160"</f>
        <v>MC4160</v>
      </c>
      <c r="C3976" t="s">
        <v>3887</v>
      </c>
    </row>
    <row r="3977" spans="1:3" x14ac:dyDescent="0.25">
      <c r="A3977" t="str">
        <f>"0611833749025"</f>
        <v>0611833749025</v>
      </c>
      <c r="B3977" t="str">
        <f>"MC0210"</f>
        <v>MC0210</v>
      </c>
      <c r="C3977" t="s">
        <v>3888</v>
      </c>
    </row>
    <row r="3978" spans="1:3" x14ac:dyDescent="0.25">
      <c r="A3978" t="str">
        <f>"0611833752100"</f>
        <v>0611833752100</v>
      </c>
      <c r="B3978" t="str">
        <f>"LH3268"</f>
        <v>LH3268</v>
      </c>
      <c r="C3978" t="s">
        <v>3895</v>
      </c>
    </row>
    <row r="3979" spans="1:3" x14ac:dyDescent="0.25">
      <c r="A3979" t="str">
        <f>"0611833753025"</f>
        <v>0611833753025</v>
      </c>
      <c r="B3979" t="str">
        <f>"MC0226"</f>
        <v>MC0226</v>
      </c>
      <c r="C3979" t="s">
        <v>3896</v>
      </c>
    </row>
    <row r="3980" spans="1:3" x14ac:dyDescent="0.25">
      <c r="A3980" t="str">
        <f>"0611833754100"</f>
        <v>0611833754100</v>
      </c>
      <c r="B3980" t="str">
        <f>"LH3270"</f>
        <v>LH3270</v>
      </c>
      <c r="C3980" t="s">
        <v>3889</v>
      </c>
    </row>
    <row r="3981" spans="1:3" x14ac:dyDescent="0.25">
      <c r="A3981" t="str">
        <f>"0611833755025"</f>
        <v>0611833755025</v>
      </c>
      <c r="B3981" t="str">
        <f>"MC0227"</f>
        <v>MC0227</v>
      </c>
      <c r="C3981" t="s">
        <v>3890</v>
      </c>
    </row>
    <row r="3982" spans="1:3" x14ac:dyDescent="0.25">
      <c r="A3982" t="str">
        <f>"0611833756025"</f>
        <v>0611833756025</v>
      </c>
      <c r="B3982" t="str">
        <f>"MC0211"</f>
        <v>MC0211</v>
      </c>
      <c r="C3982" t="s">
        <v>3891</v>
      </c>
    </row>
    <row r="3983" spans="1:3" x14ac:dyDescent="0.25">
      <c r="A3983" t="str">
        <f>"0611833750100"</f>
        <v>0611833750100</v>
      </c>
      <c r="B3983" t="str">
        <f>"LH3178"</f>
        <v>LH3178</v>
      </c>
      <c r="C3983" t="s">
        <v>3892</v>
      </c>
    </row>
    <row r="3984" spans="1:3" x14ac:dyDescent="0.25">
      <c r="A3984" t="str">
        <f>"0611833757100"</f>
        <v>0611833757100</v>
      </c>
      <c r="B3984" t="str">
        <f>"LH3272"</f>
        <v>LH3272</v>
      </c>
      <c r="C3984" t="s">
        <v>3893</v>
      </c>
    </row>
    <row r="3985" spans="1:3" x14ac:dyDescent="0.25">
      <c r="A3985" t="str">
        <f>"0611833751025"</f>
        <v>0611833751025</v>
      </c>
      <c r="B3985" t="str">
        <f>"MC1112"</f>
        <v>MC1112</v>
      </c>
      <c r="C3985" t="s">
        <v>3894</v>
      </c>
    </row>
    <row r="3986" spans="1:3" x14ac:dyDescent="0.25">
      <c r="A3986" t="str">
        <f>"0611833758025"</f>
        <v>0611833758025</v>
      </c>
      <c r="B3986" t="str">
        <f>"MC4391"</f>
        <v>MC4391</v>
      </c>
      <c r="C3986" t="s">
        <v>3897</v>
      </c>
    </row>
    <row r="3987" spans="1:3" x14ac:dyDescent="0.25">
      <c r="A3987" t="str">
        <f>"0611833759100"</f>
        <v>0611833759100</v>
      </c>
      <c r="B3987" t="str">
        <f>"LH3189"</f>
        <v>LH3189</v>
      </c>
      <c r="C3987" t="s">
        <v>3898</v>
      </c>
    </row>
    <row r="3988" spans="1:3" x14ac:dyDescent="0.25">
      <c r="A3988" t="str">
        <f>"0611833763025"</f>
        <v>0611833763025</v>
      </c>
      <c r="B3988" t="str">
        <f>"MC4285"</f>
        <v>MC4285</v>
      </c>
      <c r="C3988" t="s">
        <v>3901</v>
      </c>
    </row>
    <row r="3989" spans="1:3" x14ac:dyDescent="0.25">
      <c r="A3989" t="str">
        <f>"0611833762025"</f>
        <v>0611833762025</v>
      </c>
      <c r="B3989" t="str">
        <f>"MC4161"</f>
        <v>MC4161</v>
      </c>
      <c r="C3989" t="s">
        <v>3902</v>
      </c>
    </row>
    <row r="3990" spans="1:3" x14ac:dyDescent="0.25">
      <c r="A3990" t="str">
        <f>"0611833760025"</f>
        <v>0611833760025</v>
      </c>
      <c r="B3990" t="str">
        <f>"MC3342"</f>
        <v>MC3342</v>
      </c>
      <c r="C3990" t="s">
        <v>3899</v>
      </c>
    </row>
    <row r="3991" spans="1:3" x14ac:dyDescent="0.25">
      <c r="A3991" t="str">
        <f>"0611833766025"</f>
        <v>0611833766025</v>
      </c>
      <c r="B3991" t="str">
        <f>"MC3343"</f>
        <v>MC3343</v>
      </c>
      <c r="C3991" t="s">
        <v>3900</v>
      </c>
    </row>
    <row r="3992" spans="1:3" x14ac:dyDescent="0.25">
      <c r="A3992" t="str">
        <f>"0611833767100"</f>
        <v>0611833767100</v>
      </c>
      <c r="B3992" t="str">
        <f>"LH3280"</f>
        <v>LH3280</v>
      </c>
      <c r="C3992" t="s">
        <v>3903</v>
      </c>
    </row>
    <row r="3993" spans="1:3" x14ac:dyDescent="0.25">
      <c r="A3993" t="str">
        <f>"0611833768025"</f>
        <v>0611833768025</v>
      </c>
      <c r="B3993" t="str">
        <f>"MC0228"</f>
        <v>MC0228</v>
      </c>
      <c r="C3993" t="s">
        <v>3904</v>
      </c>
    </row>
    <row r="3994" spans="1:3" x14ac:dyDescent="0.25">
      <c r="A3994" t="str">
        <f>"0611833769025"</f>
        <v>0611833769025</v>
      </c>
      <c r="B3994" t="str">
        <f>"MC3713"</f>
        <v>MC3713</v>
      </c>
      <c r="C3994" t="s">
        <v>3905</v>
      </c>
    </row>
    <row r="3995" spans="1:3" x14ac:dyDescent="0.25">
      <c r="A3995" t="str">
        <f>"0611833770025"</f>
        <v>0611833770025</v>
      </c>
      <c r="B3995" t="str">
        <f>"MC1851"</f>
        <v>MC1851</v>
      </c>
      <c r="C3995" t="s">
        <v>3906</v>
      </c>
    </row>
    <row r="3996" spans="1:3" x14ac:dyDescent="0.25">
      <c r="A3996" t="str">
        <f>"0611833771025"</f>
        <v>0611833771025</v>
      </c>
      <c r="B3996" t="str">
        <f>"MC1853"</f>
        <v>MC1853</v>
      </c>
      <c r="C3996" t="s">
        <v>3907</v>
      </c>
    </row>
    <row r="3997" spans="1:3" x14ac:dyDescent="0.25">
      <c r="A3997" t="str">
        <f>"0611833772025"</f>
        <v>0611833772025</v>
      </c>
      <c r="B3997" t="str">
        <f>"MC3474"</f>
        <v>MC3474</v>
      </c>
      <c r="C3997" t="s">
        <v>3908</v>
      </c>
    </row>
    <row r="3998" spans="1:3" x14ac:dyDescent="0.25">
      <c r="A3998" t="str">
        <f>"0611833773025"</f>
        <v>0611833773025</v>
      </c>
      <c r="B3998" t="str">
        <f>"MC1854"</f>
        <v>MC1854</v>
      </c>
      <c r="C3998" t="s">
        <v>3909</v>
      </c>
    </row>
    <row r="3999" spans="1:3" x14ac:dyDescent="0.25">
      <c r="A3999" t="str">
        <f>"0611833775025"</f>
        <v>0611833775025</v>
      </c>
      <c r="B3999" t="str">
        <f>"MC0229"</f>
        <v>MC0229</v>
      </c>
      <c r="C3999" t="s">
        <v>3910</v>
      </c>
    </row>
    <row r="4000" spans="1:3" x14ac:dyDescent="0.25">
      <c r="A4000" t="str">
        <f>"0611884178025"</f>
        <v>0611884178025</v>
      </c>
      <c r="B4000" t="str">
        <f>"MC4519"</f>
        <v>MC4519</v>
      </c>
      <c r="C4000" t="s">
        <v>3911</v>
      </c>
    </row>
    <row r="4001" spans="1:3" x14ac:dyDescent="0.25">
      <c r="A4001" t="str">
        <f>"0611833776100"</f>
        <v>0611833776100</v>
      </c>
      <c r="B4001" t="str">
        <f>"LH0037"</f>
        <v>LH0037</v>
      </c>
      <c r="C4001" t="s">
        <v>3913</v>
      </c>
    </row>
    <row r="4002" spans="1:3" x14ac:dyDescent="0.25">
      <c r="A4002" t="str">
        <f>"0611833777100"</f>
        <v>0611833777100</v>
      </c>
      <c r="B4002" t="str">
        <f>"LH0036"</f>
        <v>LH0036</v>
      </c>
      <c r="C4002" t="s">
        <v>3912</v>
      </c>
    </row>
    <row r="4003" spans="1:3" x14ac:dyDescent="0.25">
      <c r="A4003" t="str">
        <f>"0611833779025"</f>
        <v>0611833779025</v>
      </c>
      <c r="B4003" t="str">
        <f>"MC0230"</f>
        <v>MC0230</v>
      </c>
      <c r="C4003" t="s">
        <v>3914</v>
      </c>
    </row>
    <row r="4004" spans="1:3" x14ac:dyDescent="0.25">
      <c r="A4004" t="str">
        <f>"0611833764025"</f>
        <v>0611833764025</v>
      </c>
      <c r="B4004" t="str">
        <f>"MC4162"</f>
        <v>MC4162</v>
      </c>
      <c r="C4004" t="s">
        <v>3915</v>
      </c>
    </row>
    <row r="4005" spans="1:3" x14ac:dyDescent="0.25">
      <c r="A4005" t="str">
        <f>"0611833782025"</f>
        <v>0611833782025</v>
      </c>
      <c r="B4005" t="str">
        <f>"MC0214"</f>
        <v>MC0214</v>
      </c>
      <c r="C4005" t="s">
        <v>3916</v>
      </c>
    </row>
    <row r="4006" spans="1:3" x14ac:dyDescent="0.25">
      <c r="A4006" t="str">
        <f>"0611833783025"</f>
        <v>0611833783025</v>
      </c>
      <c r="B4006" t="str">
        <f>"MC1115"</f>
        <v>MC1115</v>
      </c>
      <c r="C4006" t="s">
        <v>3917</v>
      </c>
    </row>
    <row r="4007" spans="1:3" x14ac:dyDescent="0.25">
      <c r="A4007" t="str">
        <f>"0611833780025"</f>
        <v>0611833780025</v>
      </c>
      <c r="B4007" t="str">
        <f>"MC0215"</f>
        <v>MC0215</v>
      </c>
      <c r="C4007" t="s">
        <v>3918</v>
      </c>
    </row>
    <row r="4008" spans="1:3" x14ac:dyDescent="0.25">
      <c r="A4008" t="str">
        <f>"0611833781025"</f>
        <v>0611833781025</v>
      </c>
      <c r="B4008" t="str">
        <f>"MC0216"</f>
        <v>MC0216</v>
      </c>
      <c r="C4008" t="s">
        <v>3919</v>
      </c>
    </row>
    <row r="4009" spans="1:3" x14ac:dyDescent="0.25">
      <c r="A4009" t="str">
        <f>"0611833784025"</f>
        <v>0611833784025</v>
      </c>
      <c r="B4009" t="str">
        <f>"MC0217"</f>
        <v>MC0217</v>
      </c>
      <c r="C4009" t="s">
        <v>3920</v>
      </c>
    </row>
    <row r="4010" spans="1:3" x14ac:dyDescent="0.25">
      <c r="A4010" t="str">
        <f>"0611833786025"</f>
        <v>0611833786025</v>
      </c>
      <c r="B4010" t="str">
        <f>"MC0218"</f>
        <v>MC0218</v>
      </c>
      <c r="C4010" t="s">
        <v>3921</v>
      </c>
    </row>
    <row r="4011" spans="1:3" x14ac:dyDescent="0.25">
      <c r="A4011" t="str">
        <f>"0611833791025"</f>
        <v>0611833791025</v>
      </c>
      <c r="B4011" t="str">
        <f>"MC2794"</f>
        <v>MC2794</v>
      </c>
      <c r="C4011" t="s">
        <v>3922</v>
      </c>
    </row>
    <row r="4012" spans="1:3" x14ac:dyDescent="0.25">
      <c r="A4012" t="str">
        <f>"0611833787025"</f>
        <v>0611833787025</v>
      </c>
      <c r="B4012" t="str">
        <f>"MC0219"</f>
        <v>MC0219</v>
      </c>
      <c r="C4012" t="s">
        <v>3923</v>
      </c>
    </row>
    <row r="4013" spans="1:3" x14ac:dyDescent="0.25">
      <c r="A4013" t="str">
        <f>"0611833788100"</f>
        <v>0611833788100</v>
      </c>
      <c r="B4013" t="str">
        <f>"LH3253"</f>
        <v>LH3253</v>
      </c>
      <c r="C4013" t="s">
        <v>3924</v>
      </c>
    </row>
    <row r="4014" spans="1:3" x14ac:dyDescent="0.25">
      <c r="A4014" t="str">
        <f>"0611833789025"</f>
        <v>0611833789025</v>
      </c>
      <c r="B4014" t="str">
        <f>"MC0222"</f>
        <v>MC0222</v>
      </c>
      <c r="C4014" t="s">
        <v>3925</v>
      </c>
    </row>
    <row r="4015" spans="1:3" x14ac:dyDescent="0.25">
      <c r="A4015" t="str">
        <f>"0611833790025"</f>
        <v>0611833790025</v>
      </c>
      <c r="B4015" t="str">
        <f>"MC0220"</f>
        <v>MC0220</v>
      </c>
      <c r="C4015" t="s">
        <v>3926</v>
      </c>
    </row>
    <row r="4016" spans="1:3" x14ac:dyDescent="0.25">
      <c r="A4016" t="str">
        <f>"0611833785025"</f>
        <v>0611833785025</v>
      </c>
      <c r="B4016" t="str">
        <f>"MC0221"</f>
        <v>MC0221</v>
      </c>
      <c r="C4016" t="s">
        <v>3927</v>
      </c>
    </row>
    <row r="4017" spans="1:3" x14ac:dyDescent="0.25">
      <c r="A4017" t="str">
        <f>"0611833792025"</f>
        <v>0611833792025</v>
      </c>
      <c r="B4017" t="str">
        <f>"MC1528"</f>
        <v>MC1528</v>
      </c>
      <c r="C4017" t="s">
        <v>3928</v>
      </c>
    </row>
    <row r="4018" spans="1:3" x14ac:dyDescent="0.25">
      <c r="A4018" t="str">
        <f>"0611833793100"</f>
        <v>0611833793100</v>
      </c>
      <c r="B4018" t="str">
        <f>"LH3290"</f>
        <v>LH3290</v>
      </c>
      <c r="C4018" t="s">
        <v>3929</v>
      </c>
    </row>
    <row r="4019" spans="1:3" x14ac:dyDescent="0.25">
      <c r="A4019" t="str">
        <f>"0611856895025"</f>
        <v>0611856895025</v>
      </c>
      <c r="B4019" t="str">
        <f>"MC4433"</f>
        <v>MC4433</v>
      </c>
      <c r="C4019" t="s">
        <v>3930</v>
      </c>
    </row>
    <row r="4020" spans="1:3" x14ac:dyDescent="0.25">
      <c r="A4020" t="str">
        <f>"0611856897025"</f>
        <v>0611856897025</v>
      </c>
      <c r="B4020" t="str">
        <f>"MQ7428"</f>
        <v>MQ7428</v>
      </c>
      <c r="C4020" t="s">
        <v>3931</v>
      </c>
    </row>
    <row r="4021" spans="1:3" x14ac:dyDescent="0.25">
      <c r="A4021" t="str">
        <f>"0611833765025"</f>
        <v>0611833765025</v>
      </c>
      <c r="B4021" t="str">
        <f>"MC4163"</f>
        <v>MC4163</v>
      </c>
      <c r="C4021" t="s">
        <v>3932</v>
      </c>
    </row>
    <row r="4022" spans="1:3" x14ac:dyDescent="0.25">
      <c r="A4022" t="str">
        <f>"0611833800025"</f>
        <v>0611833800025</v>
      </c>
      <c r="B4022" t="str">
        <f>"MC1857"</f>
        <v>MC1857</v>
      </c>
      <c r="C4022" t="s">
        <v>3933</v>
      </c>
    </row>
    <row r="4023" spans="1:3" x14ac:dyDescent="0.25">
      <c r="A4023" t="str">
        <f>"0611833801025"</f>
        <v>0611833801025</v>
      </c>
      <c r="B4023" t="str">
        <f>"MC3344"</f>
        <v>MC3344</v>
      </c>
      <c r="C4023" t="s">
        <v>3934</v>
      </c>
    </row>
    <row r="4024" spans="1:3" x14ac:dyDescent="0.25">
      <c r="A4024" t="str">
        <f>"0611833802025"</f>
        <v>0611833802025</v>
      </c>
      <c r="B4024" t="str">
        <f>"MC2394"</f>
        <v>MC2394</v>
      </c>
      <c r="C4024" t="s">
        <v>3935</v>
      </c>
    </row>
    <row r="4025" spans="1:3" x14ac:dyDescent="0.25">
      <c r="A4025" t="str">
        <f>"0611833798025"</f>
        <v>0611833798025</v>
      </c>
      <c r="B4025" t="str">
        <f>"MC3179"</f>
        <v>MC3179</v>
      </c>
      <c r="C4025" t="s">
        <v>3936</v>
      </c>
    </row>
    <row r="4026" spans="1:3" x14ac:dyDescent="0.25">
      <c r="A4026" t="str">
        <f>"0611833799025"</f>
        <v>0611833799025</v>
      </c>
      <c r="B4026" t="str">
        <f>"MC2814"</f>
        <v>MC2814</v>
      </c>
      <c r="C4026" t="s">
        <v>3937</v>
      </c>
    </row>
    <row r="4027" spans="1:3" x14ac:dyDescent="0.25">
      <c r="A4027" t="str">
        <f>"0611833804025"</f>
        <v>0611833804025</v>
      </c>
      <c r="B4027" t="str">
        <f>"MC0232"</f>
        <v>MC0232</v>
      </c>
      <c r="C4027" t="s">
        <v>3938</v>
      </c>
    </row>
    <row r="4028" spans="1:3" x14ac:dyDescent="0.25">
      <c r="A4028" t="str">
        <f>"0611833805100"</f>
        <v>0611833805100</v>
      </c>
      <c r="B4028" t="str">
        <f>"LH8909"</f>
        <v>LH8909</v>
      </c>
      <c r="C4028" t="s">
        <v>3939</v>
      </c>
    </row>
    <row r="4029" spans="1:3" x14ac:dyDescent="0.25">
      <c r="A4029" t="str">
        <f>"0611856896025"</f>
        <v>0611856896025</v>
      </c>
      <c r="B4029" t="str">
        <f>"MC4434"</f>
        <v>MC4434</v>
      </c>
      <c r="C4029" t="s">
        <v>3940</v>
      </c>
    </row>
    <row r="4030" spans="1:3" x14ac:dyDescent="0.25">
      <c r="A4030" t="str">
        <f>"0611833806025"</f>
        <v>0611833806025</v>
      </c>
      <c r="B4030" t="str">
        <f>"MC0865"</f>
        <v>MC0865</v>
      </c>
      <c r="C4030" t="s">
        <v>3941</v>
      </c>
    </row>
    <row r="4031" spans="1:3" x14ac:dyDescent="0.25">
      <c r="A4031" t="str">
        <f>"0611833807100"</f>
        <v>0611833807100</v>
      </c>
      <c r="B4031" t="str">
        <f>"LK1215"</f>
        <v>LK1215</v>
      </c>
      <c r="C4031" t="s">
        <v>3942</v>
      </c>
    </row>
    <row r="4032" spans="1:3" x14ac:dyDescent="0.25">
      <c r="A4032" t="str">
        <f>"0611833808100"</f>
        <v>0611833808100</v>
      </c>
      <c r="B4032" t="str">
        <f>"LK0698"</f>
        <v>LK0698</v>
      </c>
      <c r="C4032" t="s">
        <v>3943</v>
      </c>
    </row>
    <row r="4033" spans="1:3" x14ac:dyDescent="0.25">
      <c r="A4033" t="str">
        <f>"0611833809100"</f>
        <v>0611833809100</v>
      </c>
      <c r="B4033" t="str">
        <f>"LK1216"</f>
        <v>LK1216</v>
      </c>
      <c r="C4033" t="s">
        <v>3944</v>
      </c>
    </row>
    <row r="4034" spans="1:3" x14ac:dyDescent="0.25">
      <c r="A4034" t="str">
        <f>"0611833810100"</f>
        <v>0611833810100</v>
      </c>
      <c r="B4034" t="str">
        <f>"LK1217"</f>
        <v>LK1217</v>
      </c>
      <c r="C4034" t="s">
        <v>3945</v>
      </c>
    </row>
    <row r="4035" spans="1:3" x14ac:dyDescent="0.25">
      <c r="A4035" t="str">
        <f>"0611861735100"</f>
        <v>0611861735100</v>
      </c>
      <c r="B4035" t="str">
        <f>"CN5140"</f>
        <v>CN5140</v>
      </c>
      <c r="C4035" t="s">
        <v>3946</v>
      </c>
    </row>
    <row r="4036" spans="1:3" x14ac:dyDescent="0.25">
      <c r="A4036" t="str">
        <f>"0611861736100"</f>
        <v>0611861736100</v>
      </c>
      <c r="B4036" t="str">
        <f>"CN5139"</f>
        <v>CN5139</v>
      </c>
      <c r="C4036" t="s">
        <v>3947</v>
      </c>
    </row>
    <row r="4037" spans="1:3" x14ac:dyDescent="0.25">
      <c r="A4037" t="str">
        <f>"0611861737100"</f>
        <v>0611861737100</v>
      </c>
      <c r="B4037" t="str">
        <f>"CN5138"</f>
        <v>CN5138</v>
      </c>
      <c r="C4037" t="s">
        <v>3948</v>
      </c>
    </row>
    <row r="4038" spans="1:3" x14ac:dyDescent="0.25">
      <c r="A4038" t="str">
        <f>"0611833822100"</f>
        <v>0611833822100</v>
      </c>
      <c r="B4038" t="str">
        <f>"LH8923"</f>
        <v>LH8923</v>
      </c>
      <c r="C4038" t="s">
        <v>3949</v>
      </c>
    </row>
    <row r="4039" spans="1:3" x14ac:dyDescent="0.25">
      <c r="A4039" t="str">
        <f>"0611833823025"</f>
        <v>0611833823025</v>
      </c>
      <c r="B4039" t="str">
        <f>"MC0247"</f>
        <v>MC0247</v>
      </c>
      <c r="C4039" t="s">
        <v>3950</v>
      </c>
    </row>
    <row r="4040" spans="1:3" x14ac:dyDescent="0.25">
      <c r="A4040" t="str">
        <f>"0611861738100"</f>
        <v>0611861738100</v>
      </c>
      <c r="B4040" t="str">
        <f>"CN5142"</f>
        <v>CN5142</v>
      </c>
      <c r="C4040" t="s">
        <v>3951</v>
      </c>
    </row>
    <row r="4041" spans="1:3" x14ac:dyDescent="0.25">
      <c r="A4041" t="str">
        <f>"0611833824025"</f>
        <v>0611833824025</v>
      </c>
      <c r="B4041" t="str">
        <f>"MC2796"</f>
        <v>MC2796</v>
      </c>
      <c r="C4041" t="s">
        <v>3952</v>
      </c>
    </row>
    <row r="4042" spans="1:3" x14ac:dyDescent="0.25">
      <c r="A4042" t="str">
        <f>"0611833826025"</f>
        <v>0611833826025</v>
      </c>
      <c r="B4042" t="str">
        <f>"MC2797"</f>
        <v>MC2797</v>
      </c>
      <c r="C4042" t="s">
        <v>3953</v>
      </c>
    </row>
    <row r="4043" spans="1:3" x14ac:dyDescent="0.25">
      <c r="A4043" t="str">
        <f>"0611833827025"</f>
        <v>0611833827025</v>
      </c>
      <c r="B4043" t="str">
        <f>"MC2798"</f>
        <v>MC2798</v>
      </c>
      <c r="C4043" t="s">
        <v>3954</v>
      </c>
    </row>
    <row r="4044" spans="1:3" x14ac:dyDescent="0.25">
      <c r="A4044" t="str">
        <f>"0611833825025"</f>
        <v>0611833825025</v>
      </c>
      <c r="B4044" t="str">
        <f>"MC2799"</f>
        <v>MC2799</v>
      </c>
      <c r="C4044" t="s">
        <v>3955</v>
      </c>
    </row>
    <row r="4045" spans="1:3" x14ac:dyDescent="0.25">
      <c r="A4045" t="str">
        <f>"0611833828025"</f>
        <v>0611833828025</v>
      </c>
      <c r="B4045" t="str">
        <f>"MC2800"</f>
        <v>MC2800</v>
      </c>
      <c r="C4045" t="s">
        <v>3956</v>
      </c>
    </row>
    <row r="4046" spans="1:3" x14ac:dyDescent="0.25">
      <c r="A4046" t="str">
        <f>"0611833829025"</f>
        <v>0611833829025</v>
      </c>
      <c r="B4046" t="str">
        <f>"MC3324"</f>
        <v>MC3324</v>
      </c>
      <c r="C4046" t="s">
        <v>3957</v>
      </c>
    </row>
    <row r="4047" spans="1:3" x14ac:dyDescent="0.25">
      <c r="A4047" t="str">
        <f>"0611833830025"</f>
        <v>0611833830025</v>
      </c>
      <c r="B4047" t="str">
        <f>"MC2801"</f>
        <v>MC2801</v>
      </c>
      <c r="C4047" t="s">
        <v>3958</v>
      </c>
    </row>
    <row r="4048" spans="1:3" x14ac:dyDescent="0.25">
      <c r="A4048" t="str">
        <f>"0611833831025"</f>
        <v>0611833831025</v>
      </c>
      <c r="B4048" t="str">
        <f>"MC4347"</f>
        <v>MC4347</v>
      </c>
      <c r="C4048" t="s">
        <v>3959</v>
      </c>
    </row>
    <row r="4049" spans="1:3" x14ac:dyDescent="0.25">
      <c r="A4049" t="str">
        <f>"0611833832025"</f>
        <v>0611833832025</v>
      </c>
      <c r="B4049" t="str">
        <f>"MC3220"</f>
        <v>MC3220</v>
      </c>
      <c r="C4049" t="s">
        <v>3960</v>
      </c>
    </row>
    <row r="4050" spans="1:3" x14ac:dyDescent="0.25">
      <c r="A4050" t="str">
        <f>"0611833833025"</f>
        <v>0611833833025</v>
      </c>
      <c r="B4050" t="str">
        <f>"MC0237"</f>
        <v>MC0237</v>
      </c>
      <c r="C4050" t="s">
        <v>3961</v>
      </c>
    </row>
    <row r="4051" spans="1:3" x14ac:dyDescent="0.25">
      <c r="A4051" t="str">
        <f>"0611861739100"</f>
        <v>0611861739100</v>
      </c>
      <c r="B4051" t="str">
        <f>"CN5091"</f>
        <v>CN5091</v>
      </c>
      <c r="C4051" t="s">
        <v>3962</v>
      </c>
    </row>
    <row r="4052" spans="1:3" x14ac:dyDescent="0.25">
      <c r="A4052" t="str">
        <f>"0611893589100"</f>
        <v>0611893589100</v>
      </c>
      <c r="B4052" t="str">
        <f>"CN5484"</f>
        <v>CN5484</v>
      </c>
      <c r="C4052" t="s">
        <v>3963</v>
      </c>
    </row>
    <row r="4053" spans="1:3" x14ac:dyDescent="0.25">
      <c r="A4053" t="str">
        <f>"0611861740050"</f>
        <v>0611861740050</v>
      </c>
      <c r="B4053" t="str">
        <f>"CR3794"</f>
        <v>CR3794</v>
      </c>
      <c r="C4053" t="s">
        <v>3964</v>
      </c>
    </row>
    <row r="4054" spans="1:3" x14ac:dyDescent="0.25">
      <c r="A4054" t="str">
        <f>"0611861741100"</f>
        <v>0611861741100</v>
      </c>
      <c r="B4054" t="str">
        <f>"CN5092"</f>
        <v>CN5092</v>
      </c>
      <c r="C4054" t="s">
        <v>3965</v>
      </c>
    </row>
    <row r="4055" spans="1:3" x14ac:dyDescent="0.25">
      <c r="A4055" t="str">
        <f>"0611833979025"</f>
        <v>0611833979025</v>
      </c>
      <c r="B4055" t="str">
        <f>"MQ0176"</f>
        <v>MQ0176</v>
      </c>
      <c r="C4055" t="s">
        <v>4130</v>
      </c>
    </row>
    <row r="4056" spans="1:3" x14ac:dyDescent="0.25">
      <c r="A4056" t="str">
        <f>"0611861743100"</f>
        <v>0611861743100</v>
      </c>
      <c r="B4056" t="str">
        <f>"CN5093"</f>
        <v>CN5093</v>
      </c>
      <c r="C4056" t="s">
        <v>3966</v>
      </c>
    </row>
    <row r="4057" spans="1:3" x14ac:dyDescent="0.25">
      <c r="A4057" t="str">
        <f>"0611833980025"</f>
        <v>0611833980025</v>
      </c>
      <c r="B4057" t="str">
        <f>"MQ0177"</f>
        <v>MQ0177</v>
      </c>
      <c r="C4057" t="s">
        <v>4131</v>
      </c>
    </row>
    <row r="4058" spans="1:3" x14ac:dyDescent="0.25">
      <c r="A4058" t="str">
        <f>"0611861744050"</f>
        <v>0611861744050</v>
      </c>
      <c r="B4058" t="str">
        <f>"CR3599"</f>
        <v>CR3599</v>
      </c>
      <c r="C4058" t="s">
        <v>3967</v>
      </c>
    </row>
    <row r="4059" spans="1:3" x14ac:dyDescent="0.25">
      <c r="A4059" t="str">
        <f>"0611861745100"</f>
        <v>0611861745100</v>
      </c>
      <c r="B4059" t="str">
        <f>"CN5094"</f>
        <v>CN5094</v>
      </c>
      <c r="C4059" t="s">
        <v>3968</v>
      </c>
    </row>
    <row r="4060" spans="1:3" x14ac:dyDescent="0.25">
      <c r="A4060" t="str">
        <f>"0611833981025"</f>
        <v>0611833981025</v>
      </c>
      <c r="B4060" t="str">
        <f>"MQ0178"</f>
        <v>MQ0178</v>
      </c>
      <c r="C4060" t="s">
        <v>4132</v>
      </c>
    </row>
    <row r="4061" spans="1:3" x14ac:dyDescent="0.25">
      <c r="A4061" t="str">
        <f>"0611893590100"</f>
        <v>0611893590100</v>
      </c>
      <c r="B4061" t="str">
        <f>"CN5485"</f>
        <v>CN5485</v>
      </c>
      <c r="C4061" t="s">
        <v>3969</v>
      </c>
    </row>
    <row r="4062" spans="1:3" x14ac:dyDescent="0.25">
      <c r="A4062" t="str">
        <f>"0611861746100"</f>
        <v>0611861746100</v>
      </c>
      <c r="B4062" t="str">
        <f>"CN5095"</f>
        <v>CN5095</v>
      </c>
      <c r="C4062" t="s">
        <v>3970</v>
      </c>
    </row>
    <row r="4063" spans="1:3" x14ac:dyDescent="0.25">
      <c r="A4063" t="str">
        <f>"0611861748100"</f>
        <v>0611861748100</v>
      </c>
      <c r="B4063" t="str">
        <f>"CN2354"</f>
        <v>CN2354</v>
      </c>
      <c r="C4063" t="s">
        <v>3971</v>
      </c>
    </row>
    <row r="4064" spans="1:3" x14ac:dyDescent="0.25">
      <c r="A4064" t="str">
        <f>"0611856898025"</f>
        <v>0611856898025</v>
      </c>
      <c r="B4064" t="str">
        <f>"MQ0770"</f>
        <v>MQ0770</v>
      </c>
      <c r="C4064" t="s">
        <v>3972</v>
      </c>
    </row>
    <row r="4065" spans="1:3" x14ac:dyDescent="0.25">
      <c r="A4065" t="str">
        <f>"0611861749100"</f>
        <v>0611861749100</v>
      </c>
      <c r="B4065" t="str">
        <f>"CN2355"</f>
        <v>CN2355</v>
      </c>
      <c r="C4065" t="s">
        <v>3973</v>
      </c>
    </row>
    <row r="4066" spans="1:3" x14ac:dyDescent="0.25">
      <c r="A4066" t="str">
        <f>"0611856899025"</f>
        <v>0611856899025</v>
      </c>
      <c r="B4066" t="str">
        <f>"MQ0771"</f>
        <v>MQ0771</v>
      </c>
      <c r="C4066" t="s">
        <v>3974</v>
      </c>
    </row>
    <row r="4067" spans="1:3" x14ac:dyDescent="0.25">
      <c r="A4067" t="str">
        <f>"0611893591100"</f>
        <v>0611893591100</v>
      </c>
      <c r="B4067" t="str">
        <f>"CN5486"</f>
        <v>CN5486</v>
      </c>
      <c r="C4067" t="s">
        <v>3975</v>
      </c>
    </row>
    <row r="4068" spans="1:3" x14ac:dyDescent="0.25">
      <c r="A4068" t="str">
        <f>"0611861750050"</f>
        <v>0611861750050</v>
      </c>
      <c r="B4068" t="str">
        <f>"CR3932"</f>
        <v>CR3932</v>
      </c>
      <c r="C4068" t="s">
        <v>3976</v>
      </c>
    </row>
    <row r="4069" spans="1:3" x14ac:dyDescent="0.25">
      <c r="A4069" t="str">
        <f>"0611893592100"</f>
        <v>0611893592100</v>
      </c>
      <c r="B4069" t="str">
        <f>"CN5487"</f>
        <v>CN5487</v>
      </c>
      <c r="C4069" t="s">
        <v>3977</v>
      </c>
    </row>
    <row r="4070" spans="1:3" x14ac:dyDescent="0.25">
      <c r="A4070" t="str">
        <f>"0611861751100"</f>
        <v>0611861751100</v>
      </c>
      <c r="B4070" t="str">
        <f>"CN2356"</f>
        <v>CN2356</v>
      </c>
      <c r="C4070" t="s">
        <v>3978</v>
      </c>
    </row>
    <row r="4071" spans="1:3" x14ac:dyDescent="0.25">
      <c r="A4071" t="str">
        <f>"0611856900025"</f>
        <v>0611856900025</v>
      </c>
      <c r="B4071" t="str">
        <f>"MQ0772"</f>
        <v>MQ0772</v>
      </c>
      <c r="C4071" t="s">
        <v>3979</v>
      </c>
    </row>
    <row r="4072" spans="1:3" x14ac:dyDescent="0.25">
      <c r="A4072" t="str">
        <f>"0611861752100"</f>
        <v>0611861752100</v>
      </c>
      <c r="B4072" t="str">
        <f>"CN2357"</f>
        <v>CN2357</v>
      </c>
      <c r="C4072" t="s">
        <v>3980</v>
      </c>
    </row>
    <row r="4073" spans="1:3" x14ac:dyDescent="0.25">
      <c r="A4073" t="str">
        <f>"0611856901025"</f>
        <v>0611856901025</v>
      </c>
      <c r="B4073" t="str">
        <f>"MQ0773"</f>
        <v>MQ0773</v>
      </c>
      <c r="C4073" t="s">
        <v>3981</v>
      </c>
    </row>
    <row r="4074" spans="1:3" x14ac:dyDescent="0.25">
      <c r="A4074" t="str">
        <f>"0611861753100"</f>
        <v>0611861753100</v>
      </c>
      <c r="B4074" t="str">
        <f>"CN2358"</f>
        <v>CN2358</v>
      </c>
      <c r="C4074" t="s">
        <v>3982</v>
      </c>
    </row>
    <row r="4075" spans="1:3" x14ac:dyDescent="0.25">
      <c r="A4075" t="str">
        <f>"0611856902025"</f>
        <v>0611856902025</v>
      </c>
      <c r="B4075" t="str">
        <f>"MQ0774"</f>
        <v>MQ0774</v>
      </c>
      <c r="C4075" t="s">
        <v>3983</v>
      </c>
    </row>
    <row r="4076" spans="1:3" x14ac:dyDescent="0.25">
      <c r="A4076" t="str">
        <f>"0611861754050"</f>
        <v>0611861754050</v>
      </c>
      <c r="B4076" t="str">
        <f>"CR3933"</f>
        <v>CR3933</v>
      </c>
      <c r="C4076" t="s">
        <v>3984</v>
      </c>
    </row>
    <row r="4077" spans="1:3" x14ac:dyDescent="0.25">
      <c r="A4077" t="str">
        <f>"0611856903100"</f>
        <v>0611856903100</v>
      </c>
      <c r="B4077" t="str">
        <f>"LG8044"</f>
        <v>LG8044</v>
      </c>
      <c r="C4077" t="s">
        <v>3986</v>
      </c>
    </row>
    <row r="4078" spans="1:3" x14ac:dyDescent="0.25">
      <c r="A4078" t="str">
        <f>"0611856904100"</f>
        <v>0611856904100</v>
      </c>
      <c r="B4078" t="str">
        <f>"LG8045"</f>
        <v>LG8045</v>
      </c>
      <c r="C4078" t="s">
        <v>3987</v>
      </c>
    </row>
    <row r="4079" spans="1:3" x14ac:dyDescent="0.25">
      <c r="A4079" t="str">
        <f>"0611856905100"</f>
        <v>0611856905100</v>
      </c>
      <c r="B4079" t="str">
        <f>"LG8046"</f>
        <v>LG8046</v>
      </c>
      <c r="C4079" t="s">
        <v>3988</v>
      </c>
    </row>
    <row r="4080" spans="1:3" x14ac:dyDescent="0.25">
      <c r="A4080" t="str">
        <f>"0611856906100"</f>
        <v>0611856906100</v>
      </c>
      <c r="B4080" t="str">
        <f>"LG8047"</f>
        <v>LG8047</v>
      </c>
      <c r="C4080" t="s">
        <v>3989</v>
      </c>
    </row>
    <row r="4081" spans="1:3" x14ac:dyDescent="0.25">
      <c r="A4081" t="str">
        <f>"0611856907100"</f>
        <v>0611856907100</v>
      </c>
      <c r="B4081" t="str">
        <f>"LG8048"</f>
        <v>LG8048</v>
      </c>
      <c r="C4081" t="s">
        <v>3990</v>
      </c>
    </row>
    <row r="4082" spans="1:3" x14ac:dyDescent="0.25">
      <c r="A4082" t="str">
        <f>"0611856908100"</f>
        <v>0611856908100</v>
      </c>
      <c r="B4082" t="str">
        <f>"LG8049"</f>
        <v>LG8049</v>
      </c>
      <c r="C4082" t="s">
        <v>3991</v>
      </c>
    </row>
    <row r="4083" spans="1:3" x14ac:dyDescent="0.25">
      <c r="A4083" t="str">
        <f>"0611833945100"</f>
        <v>0611833945100</v>
      </c>
      <c r="B4083" t="str">
        <f>"LS0018"</f>
        <v>LS0018</v>
      </c>
      <c r="C4083" t="s">
        <v>4102</v>
      </c>
    </row>
    <row r="4084" spans="1:3" x14ac:dyDescent="0.25">
      <c r="A4084" t="str">
        <f>"0611833838025"</f>
        <v>0611833838025</v>
      </c>
      <c r="B4084" t="str">
        <f>"MC0239"</f>
        <v>MC0239</v>
      </c>
      <c r="C4084" t="s">
        <v>3985</v>
      </c>
    </row>
    <row r="4085" spans="1:3" x14ac:dyDescent="0.25">
      <c r="A4085" t="str">
        <f>"0611833840100"</f>
        <v>0611833840100</v>
      </c>
      <c r="B4085" t="str">
        <f>"LK0100"</f>
        <v>LK0100</v>
      </c>
      <c r="C4085" t="s">
        <v>3992</v>
      </c>
    </row>
    <row r="4086" spans="1:3" x14ac:dyDescent="0.25">
      <c r="A4086" t="str">
        <f>"0611861755100"</f>
        <v>0611861755100</v>
      </c>
      <c r="B4086" t="str">
        <f>"CN5144"</f>
        <v>CN5144</v>
      </c>
      <c r="C4086" t="s">
        <v>3993</v>
      </c>
    </row>
    <row r="4087" spans="1:3" x14ac:dyDescent="0.25">
      <c r="A4087" t="str">
        <f>"0611861756100"</f>
        <v>0611861756100</v>
      </c>
      <c r="B4087" t="str">
        <f>"CN5145"</f>
        <v>CN5145</v>
      </c>
      <c r="C4087" t="s">
        <v>3994</v>
      </c>
    </row>
    <row r="4088" spans="1:3" x14ac:dyDescent="0.25">
      <c r="A4088" t="str">
        <f>"0611861757100"</f>
        <v>0611861757100</v>
      </c>
      <c r="B4088" t="str">
        <f>"CN5146"</f>
        <v>CN5146</v>
      </c>
      <c r="C4088" t="s">
        <v>3995</v>
      </c>
    </row>
    <row r="4089" spans="1:3" x14ac:dyDescent="0.25">
      <c r="A4089" t="str">
        <f>"0611833844100"</f>
        <v>0611833844100</v>
      </c>
      <c r="B4089" t="str">
        <f>"LH0038"</f>
        <v>LH0038</v>
      </c>
      <c r="C4089" t="s">
        <v>3996</v>
      </c>
    </row>
    <row r="4090" spans="1:3" x14ac:dyDescent="0.25">
      <c r="A4090" t="str">
        <f>"0611833845100"</f>
        <v>0611833845100</v>
      </c>
      <c r="B4090" t="str">
        <f>"LH0039"</f>
        <v>LH0039</v>
      </c>
      <c r="C4090" t="s">
        <v>3997</v>
      </c>
    </row>
    <row r="4091" spans="1:3" x14ac:dyDescent="0.25">
      <c r="A4091" t="str">
        <f>"0611833846100"</f>
        <v>0611833846100</v>
      </c>
      <c r="B4091" t="str">
        <f>"LH0040"</f>
        <v>LH0040</v>
      </c>
      <c r="C4091" t="s">
        <v>3998</v>
      </c>
    </row>
    <row r="4092" spans="1:3" x14ac:dyDescent="0.25">
      <c r="A4092" t="str">
        <f>"0611833853025"</f>
        <v>0611833853025</v>
      </c>
      <c r="B4092" t="str">
        <f>"MQ0561"</f>
        <v>MQ0561</v>
      </c>
      <c r="C4092" t="s">
        <v>3999</v>
      </c>
    </row>
    <row r="4093" spans="1:3" x14ac:dyDescent="0.25">
      <c r="A4093" t="str">
        <f>"0611833854025"</f>
        <v>0611833854025</v>
      </c>
      <c r="B4093" t="str">
        <f>"MQ0616"</f>
        <v>MQ0616</v>
      </c>
      <c r="C4093" t="s">
        <v>4000</v>
      </c>
    </row>
    <row r="4094" spans="1:3" x14ac:dyDescent="0.25">
      <c r="A4094" t="str">
        <f>"0611833855025"</f>
        <v>0611833855025</v>
      </c>
      <c r="B4094" t="str">
        <f>"MQ0563"</f>
        <v>MQ0563</v>
      </c>
      <c r="C4094" t="s">
        <v>4001</v>
      </c>
    </row>
    <row r="4095" spans="1:3" x14ac:dyDescent="0.25">
      <c r="A4095" t="str">
        <f>"0611856909025"</f>
        <v>0611856909025</v>
      </c>
      <c r="B4095" t="str">
        <f>"MQ0775"</f>
        <v>MQ0775</v>
      </c>
      <c r="C4095" t="s">
        <v>4002</v>
      </c>
    </row>
    <row r="4096" spans="1:3" x14ac:dyDescent="0.25">
      <c r="A4096" t="str">
        <f>"0611833856025"</f>
        <v>0611833856025</v>
      </c>
      <c r="B4096" t="str">
        <f>"MQ0617"</f>
        <v>MQ0617</v>
      </c>
      <c r="C4096" t="s">
        <v>4003</v>
      </c>
    </row>
    <row r="4097" spans="1:3" x14ac:dyDescent="0.25">
      <c r="A4097" t="str">
        <f>"0611856910025"</f>
        <v>0611856910025</v>
      </c>
      <c r="B4097" t="str">
        <f>"MQ0776"</f>
        <v>MQ0776</v>
      </c>
      <c r="C4097" t="s">
        <v>4004</v>
      </c>
    </row>
    <row r="4098" spans="1:3" x14ac:dyDescent="0.25">
      <c r="A4098" t="str">
        <f>"0611833857025"</f>
        <v>0611833857025</v>
      </c>
      <c r="B4098" t="str">
        <f>"MQ0701"</f>
        <v>MQ0701</v>
      </c>
      <c r="C4098" t="s">
        <v>4005</v>
      </c>
    </row>
    <row r="4099" spans="1:3" x14ac:dyDescent="0.25">
      <c r="A4099" t="str">
        <f>"0611833858025"</f>
        <v>0611833858025</v>
      </c>
      <c r="B4099" t="str">
        <f>"MQ0590"</f>
        <v>MQ0590</v>
      </c>
      <c r="C4099" t="s">
        <v>4006</v>
      </c>
    </row>
    <row r="4100" spans="1:3" x14ac:dyDescent="0.25">
      <c r="A4100" t="str">
        <f>"0611906728025"</f>
        <v>0611906728025</v>
      </c>
      <c r="B4100" t="str">
        <f>"MQ0590"</f>
        <v>MQ0590</v>
      </c>
      <c r="C4100" t="s">
        <v>4006</v>
      </c>
    </row>
    <row r="4101" spans="1:3" x14ac:dyDescent="0.25">
      <c r="A4101" t="str">
        <f>"0611856911025"</f>
        <v>0611856911025</v>
      </c>
      <c r="B4101" t="str">
        <f>"MQ0777"</f>
        <v>MQ0777</v>
      </c>
      <c r="C4101" t="s">
        <v>4008</v>
      </c>
    </row>
    <row r="4102" spans="1:3" x14ac:dyDescent="0.25">
      <c r="A4102" t="str">
        <f>"0611833859025"</f>
        <v>0611833859025</v>
      </c>
      <c r="B4102" t="str">
        <f>"MQ0702"</f>
        <v>MQ0702</v>
      </c>
      <c r="C4102" t="s">
        <v>4007</v>
      </c>
    </row>
    <row r="4103" spans="1:3" x14ac:dyDescent="0.25">
      <c r="A4103" t="str">
        <f>"0611833848025"</f>
        <v>0611833848025</v>
      </c>
      <c r="B4103" t="str">
        <f>"MQ0492"</f>
        <v>MQ0492</v>
      </c>
      <c r="C4103" t="s">
        <v>4009</v>
      </c>
    </row>
    <row r="4104" spans="1:3" x14ac:dyDescent="0.25">
      <c r="A4104" t="str">
        <f>"0611833849025"</f>
        <v>0611833849025</v>
      </c>
      <c r="B4104" t="str">
        <f>"MQ0564"</f>
        <v>MQ0564</v>
      </c>
      <c r="C4104" t="s">
        <v>4010</v>
      </c>
    </row>
    <row r="4105" spans="1:3" x14ac:dyDescent="0.25">
      <c r="A4105" t="str">
        <f>"0611833850025"</f>
        <v>0611833850025</v>
      </c>
      <c r="B4105" t="str">
        <f>"MQ0565"</f>
        <v>MQ0565</v>
      </c>
      <c r="C4105" t="s">
        <v>4011</v>
      </c>
    </row>
    <row r="4106" spans="1:3" x14ac:dyDescent="0.25">
      <c r="A4106" t="str">
        <f>"0611833851025"</f>
        <v>0611833851025</v>
      </c>
      <c r="B4106" t="str">
        <f>"MQ0591"</f>
        <v>MQ0591</v>
      </c>
      <c r="C4106" t="s">
        <v>4012</v>
      </c>
    </row>
    <row r="4107" spans="1:3" x14ac:dyDescent="0.25">
      <c r="A4107" t="str">
        <f>"0611833852025"</f>
        <v>0611833852025</v>
      </c>
      <c r="B4107" t="str">
        <f>"MQ6019"</f>
        <v>MQ6019</v>
      </c>
      <c r="C4107" t="s">
        <v>4013</v>
      </c>
    </row>
    <row r="4108" spans="1:3" x14ac:dyDescent="0.25">
      <c r="A4108" t="str">
        <f>"0611833860025"</f>
        <v>0611833860025</v>
      </c>
      <c r="B4108" t="str">
        <f>"MQ0493"</f>
        <v>MQ0493</v>
      </c>
      <c r="C4108" t="s">
        <v>4014</v>
      </c>
    </row>
    <row r="4109" spans="1:3" x14ac:dyDescent="0.25">
      <c r="A4109" t="str">
        <f>"0611833865025"</f>
        <v>0611833865025</v>
      </c>
      <c r="B4109" t="str">
        <f>"MQ0544"</f>
        <v>MQ0544</v>
      </c>
      <c r="C4109" t="s">
        <v>4015</v>
      </c>
    </row>
    <row r="4110" spans="1:3" x14ac:dyDescent="0.25">
      <c r="A4110" t="str">
        <f>"0611833866025"</f>
        <v>0611833866025</v>
      </c>
      <c r="B4110" t="str">
        <f>"MQ0545"</f>
        <v>MQ0545</v>
      </c>
      <c r="C4110" t="s">
        <v>4016</v>
      </c>
    </row>
    <row r="4111" spans="1:3" x14ac:dyDescent="0.25">
      <c r="A4111" t="str">
        <f>"0611833867025"</f>
        <v>0611833867025</v>
      </c>
      <c r="B4111" t="str">
        <f>"MQ0703"</f>
        <v>MQ0703</v>
      </c>
      <c r="C4111" t="s">
        <v>4017</v>
      </c>
    </row>
    <row r="4112" spans="1:3" x14ac:dyDescent="0.25">
      <c r="A4112" t="str">
        <f>"0611833861025"</f>
        <v>0611833861025</v>
      </c>
      <c r="B4112" t="str">
        <f>"MQ0494"</f>
        <v>MQ0494</v>
      </c>
      <c r="C4112" t="s">
        <v>4019</v>
      </c>
    </row>
    <row r="4113" spans="1:3" x14ac:dyDescent="0.25">
      <c r="A4113" t="str">
        <f>"0611833862025"</f>
        <v>0611833862025</v>
      </c>
      <c r="B4113" t="str">
        <f>"MQ0547"</f>
        <v>MQ0547</v>
      </c>
      <c r="C4113" t="s">
        <v>4018</v>
      </c>
    </row>
    <row r="4114" spans="1:3" x14ac:dyDescent="0.25">
      <c r="A4114" t="str">
        <f>"0611833863025"</f>
        <v>0611833863025</v>
      </c>
      <c r="B4114" t="str">
        <f>"MQ0495"</f>
        <v>MQ0495</v>
      </c>
      <c r="C4114" t="s">
        <v>4020</v>
      </c>
    </row>
    <row r="4115" spans="1:3" x14ac:dyDescent="0.25">
      <c r="A4115" t="str">
        <f>"0611833864025"</f>
        <v>0611833864025</v>
      </c>
      <c r="B4115" t="str">
        <f>"MQ0496"</f>
        <v>MQ0496</v>
      </c>
      <c r="C4115" t="s">
        <v>4021</v>
      </c>
    </row>
    <row r="4116" spans="1:3" x14ac:dyDescent="0.25">
      <c r="A4116" t="str">
        <f>"0611833869025"</f>
        <v>0611833869025</v>
      </c>
      <c r="B4116" t="str">
        <f>"MQ0704"</f>
        <v>MQ0704</v>
      </c>
      <c r="C4116" t="s">
        <v>4022</v>
      </c>
    </row>
    <row r="4117" spans="1:3" x14ac:dyDescent="0.25">
      <c r="A4117" t="str">
        <f>"0611833870025"</f>
        <v>0611833870025</v>
      </c>
      <c r="B4117" t="str">
        <f>"MQ0705"</f>
        <v>MQ0705</v>
      </c>
      <c r="C4117" t="s">
        <v>4023</v>
      </c>
    </row>
    <row r="4118" spans="1:3" x14ac:dyDescent="0.25">
      <c r="A4118" t="str">
        <f>"0611833871025"</f>
        <v>0611833871025</v>
      </c>
      <c r="B4118" t="str">
        <f>"MQ0566"</f>
        <v>MQ0566</v>
      </c>
      <c r="C4118" t="s">
        <v>4025</v>
      </c>
    </row>
    <row r="4119" spans="1:3" x14ac:dyDescent="0.25">
      <c r="A4119" t="str">
        <f>"0611833872025"</f>
        <v>0611833872025</v>
      </c>
      <c r="B4119" t="str">
        <f>"MQ0666"</f>
        <v>MQ0666</v>
      </c>
      <c r="C4119" t="s">
        <v>4024</v>
      </c>
    </row>
    <row r="4120" spans="1:3" x14ac:dyDescent="0.25">
      <c r="A4120" t="str">
        <f>"0611833873025"</f>
        <v>0611833873025</v>
      </c>
      <c r="B4120" t="str">
        <f>"MQ0567"</f>
        <v>MQ0567</v>
      </c>
      <c r="C4120" t="s">
        <v>4026</v>
      </c>
    </row>
    <row r="4121" spans="1:3" x14ac:dyDescent="0.25">
      <c r="A4121" t="str">
        <f>"0611833875100"</f>
        <v>0611833875100</v>
      </c>
      <c r="B4121" t="str">
        <f>"LK6206"</f>
        <v>LK6206</v>
      </c>
      <c r="C4121" t="s">
        <v>4027</v>
      </c>
    </row>
    <row r="4122" spans="1:3" x14ac:dyDescent="0.25">
      <c r="A4122" t="str">
        <f>"0611833876100"</f>
        <v>0611833876100</v>
      </c>
      <c r="B4122" t="str">
        <f>"LK6641"</f>
        <v>LK6641</v>
      </c>
      <c r="C4122" t="s">
        <v>4028</v>
      </c>
    </row>
    <row r="4123" spans="1:3" x14ac:dyDescent="0.25">
      <c r="A4123" t="str">
        <f>"0611856912100"</f>
        <v>0611856912100</v>
      </c>
      <c r="B4123" t="str">
        <f>"LK7084"</f>
        <v>LK7084</v>
      </c>
      <c r="C4123" t="s">
        <v>4029</v>
      </c>
    </row>
    <row r="4124" spans="1:3" x14ac:dyDescent="0.25">
      <c r="A4124" t="str">
        <f>"0611833877100"</f>
        <v>0611833877100</v>
      </c>
      <c r="B4124" t="str">
        <f>"LK6205"</f>
        <v>LK6205</v>
      </c>
      <c r="C4124" t="s">
        <v>4030</v>
      </c>
    </row>
    <row r="4125" spans="1:3" x14ac:dyDescent="0.25">
      <c r="A4125" t="str">
        <f>"0611833878100"</f>
        <v>0611833878100</v>
      </c>
      <c r="B4125" t="str">
        <f>"LK6385"</f>
        <v>LK6385</v>
      </c>
      <c r="C4125" t="s">
        <v>4031</v>
      </c>
    </row>
    <row r="4126" spans="1:3" x14ac:dyDescent="0.25">
      <c r="A4126" t="str">
        <f>"0611833879100"</f>
        <v>0611833879100</v>
      </c>
      <c r="B4126" t="str">
        <f>"LK6386"</f>
        <v>LK6386</v>
      </c>
      <c r="C4126" t="s">
        <v>4032</v>
      </c>
    </row>
    <row r="4127" spans="1:3" x14ac:dyDescent="0.25">
      <c r="A4127" t="str">
        <f>"0611833880100"</f>
        <v>0611833880100</v>
      </c>
      <c r="B4127" t="str">
        <f>"LK6387"</f>
        <v>LK6387</v>
      </c>
      <c r="C4127" t="s">
        <v>4033</v>
      </c>
    </row>
    <row r="4128" spans="1:3" x14ac:dyDescent="0.25">
      <c r="A4128" t="str">
        <f>"0611833881100"</f>
        <v>0611833881100</v>
      </c>
      <c r="B4128" t="str">
        <f>"LK6204"</f>
        <v>LK6204</v>
      </c>
      <c r="C4128" t="s">
        <v>4034</v>
      </c>
    </row>
    <row r="4129" spans="1:3" x14ac:dyDescent="0.25">
      <c r="A4129" t="str">
        <f>"0611856913100"</f>
        <v>0611856913100</v>
      </c>
      <c r="B4129" t="str">
        <f>"LK7085"</f>
        <v>LK7085</v>
      </c>
      <c r="C4129" t="s">
        <v>4035</v>
      </c>
    </row>
    <row r="4130" spans="1:3" x14ac:dyDescent="0.25">
      <c r="A4130" t="str">
        <f>"0611833882025"</f>
        <v>0611833882025</v>
      </c>
      <c r="B4130" t="str">
        <f>"MC3715"</f>
        <v>MC3715</v>
      </c>
      <c r="C4130" t="s">
        <v>4036</v>
      </c>
    </row>
    <row r="4131" spans="1:3" x14ac:dyDescent="0.25">
      <c r="A4131" t="str">
        <f>"0611906729100"</f>
        <v>0611906729100</v>
      </c>
      <c r="B4131" t="str">
        <f>"LH8957"</f>
        <v>LH8957</v>
      </c>
      <c r="C4131" t="s">
        <v>4037</v>
      </c>
    </row>
    <row r="4132" spans="1:3" x14ac:dyDescent="0.25">
      <c r="A4132" t="str">
        <f>"0611906730100"</f>
        <v>0611906730100</v>
      </c>
      <c r="B4132" t="str">
        <f>"LH8958"</f>
        <v>LH8958</v>
      </c>
      <c r="C4132" t="s">
        <v>4038</v>
      </c>
    </row>
    <row r="4133" spans="1:3" x14ac:dyDescent="0.25">
      <c r="A4133" t="str">
        <f>"0611906731100"</f>
        <v>0611906731100</v>
      </c>
      <c r="B4133" t="str">
        <f>"LH8959"</f>
        <v>LH8959</v>
      </c>
      <c r="C4133" t="s">
        <v>4039</v>
      </c>
    </row>
    <row r="4134" spans="1:3" x14ac:dyDescent="0.25">
      <c r="A4134" t="str">
        <f>"0611906732100"</f>
        <v>0611906732100</v>
      </c>
      <c r="B4134" t="str">
        <f>"LH8960"</f>
        <v>LH8960</v>
      </c>
      <c r="C4134" t="s">
        <v>4040</v>
      </c>
    </row>
    <row r="4135" spans="1:3" x14ac:dyDescent="0.25">
      <c r="A4135" t="str">
        <f>"0611906733100"</f>
        <v>0611906733100</v>
      </c>
      <c r="B4135" t="str">
        <f>"LH8961"</f>
        <v>LH8961</v>
      </c>
      <c r="C4135" t="s">
        <v>4041</v>
      </c>
    </row>
    <row r="4136" spans="1:3" x14ac:dyDescent="0.25">
      <c r="A4136" t="str">
        <f>"0611833883100"</f>
        <v>0611833883100</v>
      </c>
      <c r="B4136" t="str">
        <f>"LK4968"</f>
        <v>LK4968</v>
      </c>
      <c r="C4136" t="s">
        <v>4042</v>
      </c>
    </row>
    <row r="4137" spans="1:3" x14ac:dyDescent="0.25">
      <c r="A4137" t="str">
        <f>"0611906734025"</f>
        <v>0611906734025</v>
      </c>
      <c r="B4137" t="str">
        <f>"MQ5132"</f>
        <v>MQ5132</v>
      </c>
      <c r="C4137" t="s">
        <v>4043</v>
      </c>
    </row>
    <row r="4138" spans="1:3" x14ac:dyDescent="0.25">
      <c r="A4138" t="str">
        <f>"0611833884025"</f>
        <v>0611833884025</v>
      </c>
      <c r="B4138" t="str">
        <f>"MQ5136"</f>
        <v>MQ5136</v>
      </c>
      <c r="C4138" t="s">
        <v>4043</v>
      </c>
    </row>
    <row r="4139" spans="1:3" x14ac:dyDescent="0.25">
      <c r="A4139" t="str">
        <f>"0611833885025"</f>
        <v>0611833885025</v>
      </c>
      <c r="B4139" t="str">
        <f>"MQ5137"</f>
        <v>MQ5137</v>
      </c>
      <c r="C4139" t="s">
        <v>13832</v>
      </c>
    </row>
    <row r="4140" spans="1:3" x14ac:dyDescent="0.25">
      <c r="A4140" t="str">
        <f>"0611833887025"</f>
        <v>0611833887025</v>
      </c>
      <c r="B4140" t="str">
        <f>"MQ5133"</f>
        <v>MQ5133</v>
      </c>
      <c r="C4140" t="s">
        <v>4044</v>
      </c>
    </row>
    <row r="4141" spans="1:3" x14ac:dyDescent="0.25">
      <c r="A4141" t="str">
        <f>"0611833886025"</f>
        <v>0611833886025</v>
      </c>
      <c r="B4141" t="str">
        <f>"MQ5132"</f>
        <v>MQ5132</v>
      </c>
      <c r="C4141" t="s">
        <v>13833</v>
      </c>
    </row>
    <row r="4142" spans="1:3" x14ac:dyDescent="0.25">
      <c r="A4142" t="str">
        <f>"0611833888100"</f>
        <v>0611833888100</v>
      </c>
      <c r="B4142" t="str">
        <f>"LQ0847"</f>
        <v>LQ0847</v>
      </c>
      <c r="C4142" t="s">
        <v>4045</v>
      </c>
    </row>
    <row r="4143" spans="1:3" x14ac:dyDescent="0.25">
      <c r="A4143" t="str">
        <f>"0611833890100"</f>
        <v>0611833890100</v>
      </c>
      <c r="B4143" t="str">
        <f>"LK4459"</f>
        <v>LK4459</v>
      </c>
      <c r="C4143" t="s">
        <v>4046</v>
      </c>
    </row>
    <row r="4144" spans="1:3" x14ac:dyDescent="0.25">
      <c r="A4144" t="str">
        <f>"0611833891100"</f>
        <v>0611833891100</v>
      </c>
      <c r="B4144" t="str">
        <f>"LK4460"</f>
        <v>LK4460</v>
      </c>
      <c r="C4144" t="s">
        <v>4047</v>
      </c>
    </row>
    <row r="4145" spans="1:3" x14ac:dyDescent="0.25">
      <c r="A4145" t="str">
        <f>"0611833892100"</f>
        <v>0611833892100</v>
      </c>
      <c r="B4145" t="str">
        <f>"LK4461"</f>
        <v>LK4461</v>
      </c>
      <c r="C4145" t="s">
        <v>4048</v>
      </c>
    </row>
    <row r="4146" spans="1:3" x14ac:dyDescent="0.25">
      <c r="A4146" t="str">
        <f>"0611833893100"</f>
        <v>0611833893100</v>
      </c>
      <c r="B4146" t="str">
        <f>"LK4462"</f>
        <v>LK4462</v>
      </c>
      <c r="C4146" t="s">
        <v>4049</v>
      </c>
    </row>
    <row r="4147" spans="1:3" x14ac:dyDescent="0.25">
      <c r="A4147" t="str">
        <f>"0611833894100"</f>
        <v>0611833894100</v>
      </c>
      <c r="B4147" t="str">
        <f>"LK4463"</f>
        <v>LK4463</v>
      </c>
      <c r="C4147" t="s">
        <v>4050</v>
      </c>
    </row>
    <row r="4148" spans="1:3" x14ac:dyDescent="0.25">
      <c r="A4148" t="str">
        <f>"0611833895100"</f>
        <v>0611833895100</v>
      </c>
      <c r="B4148" t="str">
        <f>"LK4464"</f>
        <v>LK4464</v>
      </c>
      <c r="C4148" t="s">
        <v>4051</v>
      </c>
    </row>
    <row r="4149" spans="1:3" x14ac:dyDescent="0.25">
      <c r="A4149" t="str">
        <f>"0611833896100"</f>
        <v>0611833896100</v>
      </c>
      <c r="B4149" t="str">
        <f>"LK4465"</f>
        <v>LK4465</v>
      </c>
      <c r="C4149" t="s">
        <v>4052</v>
      </c>
    </row>
    <row r="4150" spans="1:3" x14ac:dyDescent="0.25">
      <c r="A4150" t="str">
        <f>"0611833897100"</f>
        <v>0611833897100</v>
      </c>
      <c r="B4150" t="str">
        <f>"LB2436"</f>
        <v>LB2436</v>
      </c>
      <c r="C4150" t="s">
        <v>4053</v>
      </c>
    </row>
    <row r="4151" spans="1:3" x14ac:dyDescent="0.25">
      <c r="A4151" t="str">
        <f>"0611833898100"</f>
        <v>0611833898100</v>
      </c>
      <c r="B4151" t="str">
        <f>"LB2437"</f>
        <v>LB2437</v>
      </c>
      <c r="C4151" t="s">
        <v>4054</v>
      </c>
    </row>
    <row r="4152" spans="1:3" x14ac:dyDescent="0.25">
      <c r="A4152" t="str">
        <f>"0611833899100"</f>
        <v>0611833899100</v>
      </c>
      <c r="B4152" t="str">
        <f>"LB2438"</f>
        <v>LB2438</v>
      </c>
      <c r="C4152" t="s">
        <v>4055</v>
      </c>
    </row>
    <row r="4153" spans="1:3" x14ac:dyDescent="0.25">
      <c r="A4153" t="str">
        <f>"0611833900100"</f>
        <v>0611833900100</v>
      </c>
      <c r="B4153" t="str">
        <f>"LB2451"</f>
        <v>LB2451</v>
      </c>
      <c r="C4153" t="s">
        <v>4056</v>
      </c>
    </row>
    <row r="4154" spans="1:3" x14ac:dyDescent="0.25">
      <c r="A4154" t="str">
        <f>"0611833901100"</f>
        <v>0611833901100</v>
      </c>
      <c r="B4154" t="str">
        <f>"LB2439"</f>
        <v>LB2439</v>
      </c>
      <c r="C4154" t="s">
        <v>4057</v>
      </c>
    </row>
    <row r="4155" spans="1:3" x14ac:dyDescent="0.25">
      <c r="A4155" t="str">
        <f>"0611833902100"</f>
        <v>0611833902100</v>
      </c>
      <c r="B4155" t="str">
        <f>"LB2440"</f>
        <v>LB2440</v>
      </c>
      <c r="C4155" t="s">
        <v>4058</v>
      </c>
    </row>
    <row r="4156" spans="1:3" x14ac:dyDescent="0.25">
      <c r="A4156" t="str">
        <f>"0611833903100"</f>
        <v>0611833903100</v>
      </c>
      <c r="B4156" t="str">
        <f>"LK2790"</f>
        <v>LK2790</v>
      </c>
      <c r="C4156" t="s">
        <v>4059</v>
      </c>
    </row>
    <row r="4157" spans="1:3" x14ac:dyDescent="0.25">
      <c r="A4157" t="str">
        <f>"0611833904100"</f>
        <v>0611833904100</v>
      </c>
      <c r="B4157" t="str">
        <f>"LB2441"</f>
        <v>LB2441</v>
      </c>
      <c r="C4157" t="s">
        <v>4060</v>
      </c>
    </row>
    <row r="4158" spans="1:3" x14ac:dyDescent="0.25">
      <c r="A4158" t="str">
        <f>"0611833905100"</f>
        <v>0611833905100</v>
      </c>
      <c r="B4158" t="str">
        <f>"LK4972"</f>
        <v>LK4972</v>
      </c>
      <c r="C4158" t="s">
        <v>4061</v>
      </c>
    </row>
    <row r="4159" spans="1:3" x14ac:dyDescent="0.25">
      <c r="A4159" t="str">
        <f>"0611833906100"</f>
        <v>0611833906100</v>
      </c>
      <c r="B4159" t="str">
        <f>"LK3811"</f>
        <v>LK3811</v>
      </c>
      <c r="C4159" t="s">
        <v>4062</v>
      </c>
    </row>
    <row r="4160" spans="1:3" x14ac:dyDescent="0.25">
      <c r="A4160" t="str">
        <f>"0611833908100"</f>
        <v>0611833908100</v>
      </c>
      <c r="B4160" t="str">
        <f>"LH0041"</f>
        <v>LH0041</v>
      </c>
      <c r="C4160" t="s">
        <v>4063</v>
      </c>
    </row>
    <row r="4161" spans="1:3" x14ac:dyDescent="0.25">
      <c r="A4161" t="str">
        <f>"0611833909100"</f>
        <v>0611833909100</v>
      </c>
      <c r="B4161" t="str">
        <f>"LH3382"</f>
        <v>LH3382</v>
      </c>
      <c r="C4161" t="s">
        <v>4064</v>
      </c>
    </row>
    <row r="4162" spans="1:3" x14ac:dyDescent="0.25">
      <c r="A4162" t="str">
        <f>"0611833911025"</f>
        <v>0611833911025</v>
      </c>
      <c r="B4162" t="str">
        <f>"MC0250"</f>
        <v>MC0250</v>
      </c>
      <c r="C4162" t="s">
        <v>4065</v>
      </c>
    </row>
    <row r="4163" spans="1:3" x14ac:dyDescent="0.25">
      <c r="A4163" t="str">
        <f>"0611884179025"</f>
        <v>0611884179025</v>
      </c>
      <c r="B4163" t="str">
        <f>"MQ3218"</f>
        <v>MQ3218</v>
      </c>
      <c r="C4163" t="s">
        <v>4066</v>
      </c>
    </row>
    <row r="4164" spans="1:3" x14ac:dyDescent="0.25">
      <c r="A4164" t="str">
        <f>"0611884180025"</f>
        <v>0611884180025</v>
      </c>
      <c r="B4164" t="str">
        <f>"MQ3220"</f>
        <v>MQ3220</v>
      </c>
      <c r="C4164" t="s">
        <v>4067</v>
      </c>
    </row>
    <row r="4165" spans="1:3" x14ac:dyDescent="0.25">
      <c r="A4165" t="str">
        <f>"0611884181025"</f>
        <v>0611884181025</v>
      </c>
      <c r="B4165" t="str">
        <f>"MQ3219"</f>
        <v>MQ3219</v>
      </c>
      <c r="C4165" t="s">
        <v>4068</v>
      </c>
    </row>
    <row r="4166" spans="1:3" x14ac:dyDescent="0.25">
      <c r="A4166" t="str">
        <f>"0611833915025"</f>
        <v>0611833915025</v>
      </c>
      <c r="B4166" t="str">
        <f>"MC1120"</f>
        <v>MC1120</v>
      </c>
      <c r="C4166" t="s">
        <v>4069</v>
      </c>
    </row>
    <row r="4167" spans="1:3" x14ac:dyDescent="0.25">
      <c r="A4167" t="str">
        <f>"0611833916025"</f>
        <v>0611833916025</v>
      </c>
      <c r="B4167" t="str">
        <f>"MC0248"</f>
        <v>MC0248</v>
      </c>
      <c r="C4167" t="s">
        <v>4070</v>
      </c>
    </row>
    <row r="4168" spans="1:3" x14ac:dyDescent="0.25">
      <c r="A4168" t="str">
        <f>"0611833917100"</f>
        <v>0611833917100</v>
      </c>
      <c r="B4168" t="str">
        <f>"LB2513"</f>
        <v>LB2513</v>
      </c>
      <c r="C4168" t="s">
        <v>4071</v>
      </c>
    </row>
    <row r="4169" spans="1:3" x14ac:dyDescent="0.25">
      <c r="A4169" t="str">
        <f>"0611833918100"</f>
        <v>0611833918100</v>
      </c>
      <c r="B4169" t="str">
        <f>"LB2554"</f>
        <v>LB2554</v>
      </c>
      <c r="C4169" t="s">
        <v>4072</v>
      </c>
    </row>
    <row r="4170" spans="1:3" x14ac:dyDescent="0.25">
      <c r="A4170" t="str">
        <f>"0611833919100"</f>
        <v>0611833919100</v>
      </c>
      <c r="B4170" t="str">
        <f>"LB2562"</f>
        <v>LB2562</v>
      </c>
      <c r="C4170" t="s">
        <v>4073</v>
      </c>
    </row>
    <row r="4171" spans="1:3" x14ac:dyDescent="0.25">
      <c r="A4171" t="str">
        <f>"0611833920100"</f>
        <v>0611833920100</v>
      </c>
      <c r="B4171" t="str">
        <f>"LB2561"</f>
        <v>LB2561</v>
      </c>
      <c r="C4171" t="s">
        <v>4074</v>
      </c>
    </row>
    <row r="4172" spans="1:3" x14ac:dyDescent="0.25">
      <c r="A4172" t="str">
        <f>"0611833921100"</f>
        <v>0611833921100</v>
      </c>
      <c r="B4172" t="str">
        <f>"LB2555"</f>
        <v>LB2555</v>
      </c>
      <c r="C4172" t="s">
        <v>4075</v>
      </c>
    </row>
    <row r="4173" spans="1:3" x14ac:dyDescent="0.25">
      <c r="A4173" t="str">
        <f>"0611833922100"</f>
        <v>0611833922100</v>
      </c>
      <c r="B4173" t="str">
        <f>"LB2556"</f>
        <v>LB2556</v>
      </c>
      <c r="C4173" t="s">
        <v>4076</v>
      </c>
    </row>
    <row r="4174" spans="1:3" x14ac:dyDescent="0.25">
      <c r="A4174" t="str">
        <f>"0611833923100"</f>
        <v>0611833923100</v>
      </c>
      <c r="B4174" t="str">
        <f>"LB2557"</f>
        <v>LB2557</v>
      </c>
      <c r="C4174" t="s">
        <v>4077</v>
      </c>
    </row>
    <row r="4175" spans="1:3" x14ac:dyDescent="0.25">
      <c r="A4175" t="str">
        <f>"0611833924100"</f>
        <v>0611833924100</v>
      </c>
      <c r="B4175" t="str">
        <f>"LK6545"</f>
        <v>LK6545</v>
      </c>
      <c r="C4175" t="s">
        <v>4078</v>
      </c>
    </row>
    <row r="4176" spans="1:3" x14ac:dyDescent="0.25">
      <c r="A4176" t="str">
        <f>"0611833925100"</f>
        <v>0611833925100</v>
      </c>
      <c r="B4176" t="str">
        <f>"LB2558"</f>
        <v>LB2558</v>
      </c>
      <c r="C4176" t="s">
        <v>4079</v>
      </c>
    </row>
    <row r="4177" spans="1:3" x14ac:dyDescent="0.25">
      <c r="A4177" t="str">
        <f>"0611833926100"</f>
        <v>0611833926100</v>
      </c>
      <c r="B4177" t="str">
        <f>"LB2563"</f>
        <v>LB2563</v>
      </c>
      <c r="C4177" t="s">
        <v>4080</v>
      </c>
    </row>
    <row r="4178" spans="1:3" x14ac:dyDescent="0.25">
      <c r="A4178" t="str">
        <f>"0611833927100"</f>
        <v>0611833927100</v>
      </c>
      <c r="B4178" t="str">
        <f>"LB2559"</f>
        <v>LB2559</v>
      </c>
      <c r="C4178" t="s">
        <v>4081</v>
      </c>
    </row>
    <row r="4179" spans="1:3" x14ac:dyDescent="0.25">
      <c r="A4179" t="str">
        <f>"0611833928100"</f>
        <v>0611833928100</v>
      </c>
      <c r="B4179" t="str">
        <f>"LB2560"</f>
        <v>LB2560</v>
      </c>
      <c r="C4179" t="s">
        <v>4082</v>
      </c>
    </row>
    <row r="4180" spans="1:3" x14ac:dyDescent="0.25">
      <c r="A4180" t="str">
        <f>"0611833929100"</f>
        <v>0611833929100</v>
      </c>
      <c r="B4180" t="str">
        <f>"LB2540"</f>
        <v>LB2540</v>
      </c>
      <c r="C4180" t="s">
        <v>4083</v>
      </c>
    </row>
    <row r="4181" spans="1:3" x14ac:dyDescent="0.25">
      <c r="A4181" t="str">
        <f>"0611833930100"</f>
        <v>0611833930100</v>
      </c>
      <c r="B4181" t="str">
        <f>"LQ3560"</f>
        <v>LQ3560</v>
      </c>
      <c r="C4181" t="s">
        <v>4084</v>
      </c>
    </row>
    <row r="4182" spans="1:3" x14ac:dyDescent="0.25">
      <c r="A4182" t="str">
        <f>"0611833931100"</f>
        <v>0611833931100</v>
      </c>
      <c r="B4182" t="str">
        <f>"LQ3561"</f>
        <v>LQ3561</v>
      </c>
      <c r="C4182" t="s">
        <v>4085</v>
      </c>
    </row>
    <row r="4183" spans="1:3" x14ac:dyDescent="0.25">
      <c r="A4183" t="str">
        <f>"0611833932100"</f>
        <v>0611833932100</v>
      </c>
      <c r="B4183" t="str">
        <f>"LQ3562"</f>
        <v>LQ3562</v>
      </c>
      <c r="C4183" t="s">
        <v>4086</v>
      </c>
    </row>
    <row r="4184" spans="1:3" x14ac:dyDescent="0.25">
      <c r="A4184" t="str">
        <f>"0611833933100"</f>
        <v>0611833933100</v>
      </c>
      <c r="B4184" t="str">
        <f>"LQ3563"</f>
        <v>LQ3563</v>
      </c>
      <c r="C4184" t="s">
        <v>4087</v>
      </c>
    </row>
    <row r="4185" spans="1:3" x14ac:dyDescent="0.25">
      <c r="A4185" t="str">
        <f>"0611906735100"</f>
        <v>0611906735100</v>
      </c>
      <c r="B4185" t="str">
        <f>"LQ3944"</f>
        <v>LQ3944</v>
      </c>
      <c r="C4185" t="s">
        <v>4088</v>
      </c>
    </row>
    <row r="4186" spans="1:3" x14ac:dyDescent="0.25">
      <c r="A4186" t="str">
        <f>"0611833934100"</f>
        <v>0611833934100</v>
      </c>
      <c r="B4186" t="str">
        <f>"LQ3729"</f>
        <v>LQ3729</v>
      </c>
      <c r="C4186" t="s">
        <v>4089</v>
      </c>
    </row>
    <row r="4187" spans="1:3" x14ac:dyDescent="0.25">
      <c r="A4187" t="str">
        <f>"0611833935100"</f>
        <v>0611833935100</v>
      </c>
      <c r="B4187" t="str">
        <f>"LQ3730"</f>
        <v>LQ3730</v>
      </c>
      <c r="C4187" t="s">
        <v>4090</v>
      </c>
    </row>
    <row r="4188" spans="1:3" x14ac:dyDescent="0.25">
      <c r="A4188" t="str">
        <f>"0611833936100"</f>
        <v>0611833936100</v>
      </c>
      <c r="B4188" t="str">
        <f>"LQ3564"</f>
        <v>LQ3564</v>
      </c>
      <c r="C4188" t="s">
        <v>4091</v>
      </c>
    </row>
    <row r="4189" spans="1:3" x14ac:dyDescent="0.25">
      <c r="A4189" t="str">
        <f>"0611833937100"</f>
        <v>0611833937100</v>
      </c>
      <c r="B4189" t="str">
        <f>"LQ3565"</f>
        <v>LQ3565</v>
      </c>
      <c r="C4189" t="s">
        <v>4092</v>
      </c>
    </row>
    <row r="4190" spans="1:3" x14ac:dyDescent="0.25">
      <c r="A4190" t="str">
        <f>"0611906736100"</f>
        <v>0611906736100</v>
      </c>
      <c r="B4190" t="str">
        <f>"LQ3945"</f>
        <v>LQ3945</v>
      </c>
      <c r="C4190" t="s">
        <v>4093</v>
      </c>
    </row>
    <row r="4191" spans="1:3" x14ac:dyDescent="0.25">
      <c r="A4191" t="str">
        <f>"0611833938100"</f>
        <v>0611833938100</v>
      </c>
      <c r="B4191" t="str">
        <f>"LQ3731"</f>
        <v>LQ3731</v>
      </c>
      <c r="C4191" t="s">
        <v>4094</v>
      </c>
    </row>
    <row r="4192" spans="1:3" x14ac:dyDescent="0.25">
      <c r="A4192" t="str">
        <f>"0611833939100"</f>
        <v>0611833939100</v>
      </c>
      <c r="B4192" t="str">
        <f>"LQ3567"</f>
        <v>LQ3567</v>
      </c>
      <c r="C4192" t="s">
        <v>4095</v>
      </c>
    </row>
    <row r="4193" spans="1:3" x14ac:dyDescent="0.25">
      <c r="A4193" t="str">
        <f>"0611833940100"</f>
        <v>0611833940100</v>
      </c>
      <c r="B4193" t="str">
        <f>"LQ3568"</f>
        <v>LQ3568</v>
      </c>
      <c r="C4193" t="s">
        <v>4096</v>
      </c>
    </row>
    <row r="4194" spans="1:3" x14ac:dyDescent="0.25">
      <c r="A4194" t="str">
        <f>"0611833941025"</f>
        <v>0611833941025</v>
      </c>
      <c r="B4194" t="str">
        <f>"MC1121"</f>
        <v>MC1121</v>
      </c>
      <c r="C4194" t="s">
        <v>4097</v>
      </c>
    </row>
    <row r="4195" spans="1:3" x14ac:dyDescent="0.25">
      <c r="A4195" t="str">
        <f>"0611833942025"</f>
        <v>0611833942025</v>
      </c>
      <c r="B4195" t="str">
        <f>"MC0246"</f>
        <v>MC0246</v>
      </c>
      <c r="C4195" t="s">
        <v>4098</v>
      </c>
    </row>
    <row r="4196" spans="1:3" x14ac:dyDescent="0.25">
      <c r="A4196" t="str">
        <f>"0611833944025"</f>
        <v>0611833944025</v>
      </c>
      <c r="B4196" t="str">
        <f>"MC0245"</f>
        <v>MC0245</v>
      </c>
      <c r="C4196" t="s">
        <v>4100</v>
      </c>
    </row>
    <row r="4197" spans="1:3" x14ac:dyDescent="0.25">
      <c r="A4197" t="str">
        <f>"0611833943100"</f>
        <v>0611833943100</v>
      </c>
      <c r="B4197" t="str">
        <f>"LH0042"</f>
        <v>LH0042</v>
      </c>
      <c r="C4197" t="s">
        <v>4099</v>
      </c>
    </row>
    <row r="4198" spans="1:3" x14ac:dyDescent="0.25">
      <c r="A4198" t="str">
        <f>"0611833907100"</f>
        <v>0611833907100</v>
      </c>
      <c r="B4198" t="str">
        <f>"MB1510"</f>
        <v>MB1510</v>
      </c>
      <c r="C4198" t="s">
        <v>4101</v>
      </c>
    </row>
    <row r="4199" spans="1:3" x14ac:dyDescent="0.25">
      <c r="A4199" t="str">
        <f>"0611833946025"</f>
        <v>0611833946025</v>
      </c>
      <c r="B4199" t="str">
        <f>"MC0252"</f>
        <v>MC0252</v>
      </c>
      <c r="C4199" t="s">
        <v>4103</v>
      </c>
    </row>
    <row r="4200" spans="1:3" x14ac:dyDescent="0.25">
      <c r="A4200" t="str">
        <f>"0611833947100"</f>
        <v>0611833947100</v>
      </c>
      <c r="B4200" t="str">
        <f>"LH1645"</f>
        <v>LH1645</v>
      </c>
      <c r="C4200" t="s">
        <v>4104</v>
      </c>
    </row>
    <row r="4201" spans="1:3" x14ac:dyDescent="0.25">
      <c r="A4201" t="str">
        <f>"0611833948025"</f>
        <v>0611833948025</v>
      </c>
      <c r="B4201" t="str">
        <f>"MC0254"</f>
        <v>MC0254</v>
      </c>
      <c r="C4201" t="s">
        <v>4105</v>
      </c>
    </row>
    <row r="4202" spans="1:3" x14ac:dyDescent="0.25">
      <c r="A4202" t="str">
        <f>"0611833949100"</f>
        <v>0611833949100</v>
      </c>
      <c r="B4202" t="str">
        <f>"LH1647"</f>
        <v>LH1647</v>
      </c>
      <c r="C4202" t="s">
        <v>4106</v>
      </c>
    </row>
    <row r="4203" spans="1:3" x14ac:dyDescent="0.25">
      <c r="A4203" t="str">
        <f>"0611833950100"</f>
        <v>0611833950100</v>
      </c>
      <c r="B4203" t="str">
        <f>"LH1649"</f>
        <v>LH1649</v>
      </c>
      <c r="C4203" t="s">
        <v>4107</v>
      </c>
    </row>
    <row r="4204" spans="1:3" x14ac:dyDescent="0.25">
      <c r="A4204" t="str">
        <f>"0611833951100"</f>
        <v>0611833951100</v>
      </c>
      <c r="B4204" t="str">
        <f>"LK0487"</f>
        <v>LK0487</v>
      </c>
      <c r="C4204" t="s">
        <v>4108</v>
      </c>
    </row>
    <row r="4205" spans="1:3" x14ac:dyDescent="0.25">
      <c r="A4205" t="str">
        <f>"0611833952100"</f>
        <v>0611833952100</v>
      </c>
      <c r="B4205" t="str">
        <f>"LK0057"</f>
        <v>LK0057</v>
      </c>
      <c r="C4205" t="s">
        <v>4109</v>
      </c>
    </row>
    <row r="4206" spans="1:3" x14ac:dyDescent="0.25">
      <c r="A4206" t="str">
        <f>"0611833953100"</f>
        <v>0611833953100</v>
      </c>
      <c r="B4206" t="str">
        <f>"LK2621"</f>
        <v>LK2621</v>
      </c>
      <c r="C4206" t="s">
        <v>4110</v>
      </c>
    </row>
    <row r="4207" spans="1:3" x14ac:dyDescent="0.25">
      <c r="A4207" t="str">
        <f>"0611833954100"</f>
        <v>0611833954100</v>
      </c>
      <c r="B4207" t="str">
        <f>"LK2622"</f>
        <v>LK2622</v>
      </c>
      <c r="C4207" t="s">
        <v>4111</v>
      </c>
    </row>
    <row r="4208" spans="1:3" x14ac:dyDescent="0.25">
      <c r="A4208" t="str">
        <f>"0611833955100"</f>
        <v>0611833955100</v>
      </c>
      <c r="B4208" t="str">
        <f>"LK2623"</f>
        <v>LK2623</v>
      </c>
      <c r="C4208" t="s">
        <v>4112</v>
      </c>
    </row>
    <row r="4209" spans="1:3" x14ac:dyDescent="0.25">
      <c r="A4209" t="str">
        <f>"0611833956100"</f>
        <v>0611833956100</v>
      </c>
      <c r="B4209" t="str">
        <f>"LK2624"</f>
        <v>LK2624</v>
      </c>
      <c r="C4209" t="s">
        <v>4113</v>
      </c>
    </row>
    <row r="4210" spans="1:3" x14ac:dyDescent="0.25">
      <c r="A4210" t="str">
        <f>"0611833957100"</f>
        <v>0611833957100</v>
      </c>
      <c r="B4210" t="str">
        <f>"LK2625"</f>
        <v>LK2625</v>
      </c>
      <c r="C4210" t="s">
        <v>4114</v>
      </c>
    </row>
    <row r="4211" spans="1:3" x14ac:dyDescent="0.25">
      <c r="A4211" t="str">
        <f>"0611833958100"</f>
        <v>0611833958100</v>
      </c>
      <c r="B4211" t="str">
        <f>"LK2626"</f>
        <v>LK2626</v>
      </c>
      <c r="C4211" t="s">
        <v>4115</v>
      </c>
    </row>
    <row r="4212" spans="1:3" x14ac:dyDescent="0.25">
      <c r="A4212" t="str">
        <f>"0611833959100"</f>
        <v>0611833959100</v>
      </c>
      <c r="B4212" t="str">
        <f>"LK2627"</f>
        <v>LK2627</v>
      </c>
      <c r="C4212" t="s">
        <v>4116</v>
      </c>
    </row>
    <row r="4213" spans="1:3" x14ac:dyDescent="0.25">
      <c r="A4213" t="str">
        <f>"0611833960100"</f>
        <v>0611833960100</v>
      </c>
      <c r="B4213" t="str">
        <f>"LK2628"</f>
        <v>LK2628</v>
      </c>
      <c r="C4213" t="s">
        <v>4117</v>
      </c>
    </row>
    <row r="4214" spans="1:3" x14ac:dyDescent="0.25">
      <c r="A4214" t="str">
        <f>"0611833961100"</f>
        <v>0611833961100</v>
      </c>
      <c r="B4214" t="str">
        <f>"LK0121"</f>
        <v>LK0121</v>
      </c>
      <c r="C4214" t="s">
        <v>4118</v>
      </c>
    </row>
    <row r="4215" spans="1:3" x14ac:dyDescent="0.25">
      <c r="A4215" t="str">
        <f>"0611833962100"</f>
        <v>0611833962100</v>
      </c>
      <c r="B4215" t="str">
        <f>"LH3391"</f>
        <v>LH3391</v>
      </c>
      <c r="C4215" t="s">
        <v>4119</v>
      </c>
    </row>
    <row r="4216" spans="1:3" x14ac:dyDescent="0.25">
      <c r="A4216" t="str">
        <f>"0611833963025"</f>
        <v>0611833963025</v>
      </c>
      <c r="B4216" t="str">
        <f>"MC0249"</f>
        <v>MC0249</v>
      </c>
      <c r="C4216" t="s">
        <v>4120</v>
      </c>
    </row>
    <row r="4217" spans="1:3" x14ac:dyDescent="0.25">
      <c r="A4217" t="str">
        <f>"0611833964100"</f>
        <v>0611833964100</v>
      </c>
      <c r="B4217" t="str">
        <f>"LK6786"</f>
        <v>LK6786</v>
      </c>
      <c r="C4217" t="s">
        <v>4121</v>
      </c>
    </row>
    <row r="4218" spans="1:3" x14ac:dyDescent="0.25">
      <c r="A4218" t="str">
        <f>"0611833965100"</f>
        <v>0611833965100</v>
      </c>
      <c r="B4218" t="str">
        <f>"LK6787"</f>
        <v>LK6787</v>
      </c>
      <c r="C4218" t="s">
        <v>4122</v>
      </c>
    </row>
    <row r="4219" spans="1:3" x14ac:dyDescent="0.25">
      <c r="A4219" t="str">
        <f>"0611833968100"</f>
        <v>0611833968100</v>
      </c>
      <c r="B4219" t="str">
        <f>"LK6790"</f>
        <v>LK6790</v>
      </c>
      <c r="C4219" t="s">
        <v>4123</v>
      </c>
    </row>
    <row r="4220" spans="1:3" x14ac:dyDescent="0.25">
      <c r="A4220" t="str">
        <f>"0611833970100"</f>
        <v>0611833970100</v>
      </c>
      <c r="B4220" t="str">
        <f>"LK6792"</f>
        <v>LK6792</v>
      </c>
      <c r="C4220" t="s">
        <v>4124</v>
      </c>
    </row>
    <row r="4221" spans="1:3" x14ac:dyDescent="0.25">
      <c r="A4221" t="str">
        <f>"0611833973100"</f>
        <v>0611833973100</v>
      </c>
      <c r="B4221" t="str">
        <f>"LK6795"</f>
        <v>LK6795</v>
      </c>
      <c r="C4221" t="s">
        <v>4125</v>
      </c>
    </row>
    <row r="4222" spans="1:3" x14ac:dyDescent="0.25">
      <c r="A4222" t="str">
        <f>"0611833975100"</f>
        <v>0611833975100</v>
      </c>
      <c r="B4222" t="str">
        <f>"LK5744"</f>
        <v>LK5744</v>
      </c>
      <c r="C4222" t="s">
        <v>4126</v>
      </c>
    </row>
    <row r="4223" spans="1:3" x14ac:dyDescent="0.25">
      <c r="A4223" t="str">
        <f>"0611833976100"</f>
        <v>0611833976100</v>
      </c>
      <c r="B4223" t="str">
        <f>"LK5674"</f>
        <v>LK5674</v>
      </c>
      <c r="C4223" t="s">
        <v>4127</v>
      </c>
    </row>
    <row r="4224" spans="1:3" x14ac:dyDescent="0.25">
      <c r="A4224" t="str">
        <f>"0611833977100"</f>
        <v>0611833977100</v>
      </c>
      <c r="B4224" t="str">
        <f>"LK6219"</f>
        <v>LK6219</v>
      </c>
      <c r="C4224" t="s">
        <v>4128</v>
      </c>
    </row>
    <row r="4225" spans="1:3" x14ac:dyDescent="0.25">
      <c r="A4225" t="str">
        <f>"0611833978100"</f>
        <v>0611833978100</v>
      </c>
      <c r="B4225" t="str">
        <f>"LK6963"</f>
        <v>LK6963</v>
      </c>
      <c r="C4225" t="s">
        <v>4129</v>
      </c>
    </row>
    <row r="4226" spans="1:3" x14ac:dyDescent="0.25">
      <c r="A4226" t="str">
        <f>"0611833982025"</f>
        <v>0611833982025</v>
      </c>
      <c r="B4226" t="str">
        <f>"MC0257"</f>
        <v>MC0257</v>
      </c>
      <c r="C4226" t="s">
        <v>4133</v>
      </c>
    </row>
    <row r="4227" spans="1:3" x14ac:dyDescent="0.25">
      <c r="A4227" t="str">
        <f>"0611833983100"</f>
        <v>0611833983100</v>
      </c>
      <c r="B4227" t="str">
        <f>"LB1593"</f>
        <v>LB1593</v>
      </c>
      <c r="C4227" t="s">
        <v>4134</v>
      </c>
    </row>
    <row r="4228" spans="1:3" x14ac:dyDescent="0.25">
      <c r="A4228" t="str">
        <f>"0611861758100"</f>
        <v>0611861758100</v>
      </c>
      <c r="B4228" t="str">
        <f>"CN2353"</f>
        <v>CN2353</v>
      </c>
      <c r="C4228" t="s">
        <v>4135</v>
      </c>
    </row>
    <row r="4229" spans="1:3" x14ac:dyDescent="0.25">
      <c r="A4229" t="str">
        <f>"0611833984100"</f>
        <v>0611833984100</v>
      </c>
      <c r="B4229" t="str">
        <f>"LK0701"</f>
        <v>LK0701</v>
      </c>
      <c r="C4229" t="s">
        <v>4136</v>
      </c>
    </row>
    <row r="4230" spans="1:3" x14ac:dyDescent="0.25">
      <c r="A4230" t="str">
        <f>"0611833985025"</f>
        <v>0611833985025</v>
      </c>
      <c r="B4230" t="str">
        <f>"MC1137"</f>
        <v>MC1137</v>
      </c>
      <c r="C4230" t="s">
        <v>4137</v>
      </c>
    </row>
    <row r="4231" spans="1:3" x14ac:dyDescent="0.25">
      <c r="A4231" t="str">
        <f>"0611833986025"</f>
        <v>0611833986025</v>
      </c>
      <c r="B4231" t="str">
        <f>"MQ0179"</f>
        <v>MQ0179</v>
      </c>
      <c r="C4231" t="s">
        <v>4138</v>
      </c>
    </row>
    <row r="4232" spans="1:3" x14ac:dyDescent="0.25">
      <c r="A4232" t="str">
        <f>"0611833987025"</f>
        <v>0611833987025</v>
      </c>
      <c r="B4232" t="str">
        <f>"MQ0180"</f>
        <v>MQ0180</v>
      </c>
      <c r="C4232" t="s">
        <v>4139</v>
      </c>
    </row>
    <row r="4233" spans="1:3" x14ac:dyDescent="0.25">
      <c r="A4233" t="str">
        <f>"0611833988025"</f>
        <v>0611833988025</v>
      </c>
      <c r="B4233" t="str">
        <f>"MQ0181"</f>
        <v>MQ0181</v>
      </c>
      <c r="C4233" t="s">
        <v>4140</v>
      </c>
    </row>
    <row r="4234" spans="1:3" x14ac:dyDescent="0.25">
      <c r="A4234" t="str">
        <f>"0611833989025"</f>
        <v>0611833989025</v>
      </c>
      <c r="B4234" t="str">
        <f>"MQ0549"</f>
        <v>MQ0549</v>
      </c>
      <c r="C4234" t="s">
        <v>4141</v>
      </c>
    </row>
    <row r="4235" spans="1:3" x14ac:dyDescent="0.25">
      <c r="A4235" t="str">
        <f>"0611833990025"</f>
        <v>0611833990025</v>
      </c>
      <c r="B4235" t="str">
        <f>"MQ0182"</f>
        <v>MQ0182</v>
      </c>
      <c r="C4235" t="s">
        <v>4142</v>
      </c>
    </row>
    <row r="4236" spans="1:3" x14ac:dyDescent="0.25">
      <c r="A4236" t="str">
        <f>"0611833991025"</f>
        <v>0611833991025</v>
      </c>
      <c r="B4236" t="str">
        <f>"MQ0639"</f>
        <v>MQ0639</v>
      </c>
      <c r="C4236" t="s">
        <v>4143</v>
      </c>
    </row>
    <row r="4237" spans="1:3" x14ac:dyDescent="0.25">
      <c r="A4237" t="str">
        <f>"0611833992025"</f>
        <v>0611833992025</v>
      </c>
      <c r="B4237" t="str">
        <f>"MQ0640"</f>
        <v>MQ0640</v>
      </c>
      <c r="C4237" t="s">
        <v>4144</v>
      </c>
    </row>
    <row r="4238" spans="1:3" x14ac:dyDescent="0.25">
      <c r="A4238" t="str">
        <f>"0611833993025"</f>
        <v>0611833993025</v>
      </c>
      <c r="B4238" t="str">
        <f>"MQ0183"</f>
        <v>MQ0183</v>
      </c>
      <c r="C4238" t="s">
        <v>4145</v>
      </c>
    </row>
    <row r="4239" spans="1:3" x14ac:dyDescent="0.25">
      <c r="A4239" t="str">
        <f>"0611833994025"</f>
        <v>0611833994025</v>
      </c>
      <c r="B4239" t="str">
        <f>"MQ0184"</f>
        <v>MQ0184</v>
      </c>
      <c r="C4239" t="s">
        <v>4146</v>
      </c>
    </row>
    <row r="4240" spans="1:3" x14ac:dyDescent="0.25">
      <c r="A4240" t="str">
        <f>"0611861759100"</f>
        <v>0611861759100</v>
      </c>
      <c r="B4240" t="str">
        <f>"CN5096"</f>
        <v>CN5096</v>
      </c>
      <c r="C4240" t="s">
        <v>4147</v>
      </c>
    </row>
    <row r="4241" spans="1:3" x14ac:dyDescent="0.25">
      <c r="A4241" t="str">
        <f>"0611861760050"</f>
        <v>0611861760050</v>
      </c>
      <c r="B4241" t="str">
        <f>"CR3601"</f>
        <v>CR3601</v>
      </c>
      <c r="C4241" t="s">
        <v>4148</v>
      </c>
    </row>
    <row r="4242" spans="1:3" x14ac:dyDescent="0.25">
      <c r="A4242" t="str">
        <f>"0611861761100"</f>
        <v>0611861761100</v>
      </c>
      <c r="B4242" t="str">
        <f>"CN5097"</f>
        <v>CN5097</v>
      </c>
      <c r="C4242" t="s">
        <v>4149</v>
      </c>
    </row>
    <row r="4243" spans="1:3" x14ac:dyDescent="0.25">
      <c r="A4243" t="str">
        <f>"0611861762100"</f>
        <v>0611861762100</v>
      </c>
      <c r="B4243" t="str">
        <f>"CN5098"</f>
        <v>CN5098</v>
      </c>
      <c r="C4243" t="s">
        <v>4150</v>
      </c>
    </row>
    <row r="4244" spans="1:3" x14ac:dyDescent="0.25">
      <c r="A4244" t="str">
        <f>"0611861763050"</f>
        <v>0611861763050</v>
      </c>
      <c r="B4244" t="str">
        <f>"CR3785"</f>
        <v>CR3785</v>
      </c>
      <c r="C4244" t="s">
        <v>4151</v>
      </c>
    </row>
    <row r="4245" spans="1:3" x14ac:dyDescent="0.25">
      <c r="A4245" t="str">
        <f>"0611861764050"</f>
        <v>0611861764050</v>
      </c>
      <c r="B4245" t="str">
        <f>"CR3604"</f>
        <v>CR3604</v>
      </c>
      <c r="C4245" t="s">
        <v>4152</v>
      </c>
    </row>
    <row r="4246" spans="1:3" x14ac:dyDescent="0.25">
      <c r="A4246" t="str">
        <f>"0611861765100"</f>
        <v>0611861765100</v>
      </c>
      <c r="B4246" t="str">
        <f>"CN5099"</f>
        <v>CN5099</v>
      </c>
      <c r="C4246" t="s">
        <v>4153</v>
      </c>
    </row>
    <row r="4247" spans="1:3" x14ac:dyDescent="0.25">
      <c r="A4247" t="str">
        <f>"0611861766050"</f>
        <v>0611861766050</v>
      </c>
      <c r="B4247" t="str">
        <f>"CR3786"</f>
        <v>CR3786</v>
      </c>
      <c r="C4247" t="s">
        <v>4154</v>
      </c>
    </row>
    <row r="4248" spans="1:3" x14ac:dyDescent="0.25">
      <c r="A4248" t="str">
        <f>"0611861767100"</f>
        <v>0611861767100</v>
      </c>
      <c r="B4248" t="str">
        <f>"CN5100"</f>
        <v>CN5100</v>
      </c>
      <c r="C4248" t="s">
        <v>4155</v>
      </c>
    </row>
    <row r="4249" spans="1:3" x14ac:dyDescent="0.25">
      <c r="A4249" t="str">
        <f>"0611861768050"</f>
        <v>0611861768050</v>
      </c>
      <c r="B4249" t="str">
        <f>"CR3605"</f>
        <v>CR3605</v>
      </c>
      <c r="C4249" t="s">
        <v>4156</v>
      </c>
    </row>
    <row r="4250" spans="1:3" x14ac:dyDescent="0.25">
      <c r="A4250" t="str">
        <f>"0611861769100"</f>
        <v>0611861769100</v>
      </c>
      <c r="B4250" t="str">
        <f>"CN5101"</f>
        <v>CN5101</v>
      </c>
      <c r="C4250" t="s">
        <v>4157</v>
      </c>
    </row>
    <row r="4251" spans="1:3" x14ac:dyDescent="0.25">
      <c r="A4251" t="str">
        <f>"0611861771100"</f>
        <v>0611861771100</v>
      </c>
      <c r="B4251" t="str">
        <f>"CN5102"</f>
        <v>CN5102</v>
      </c>
      <c r="C4251" t="s">
        <v>4158</v>
      </c>
    </row>
    <row r="4252" spans="1:3" x14ac:dyDescent="0.25">
      <c r="A4252" t="str">
        <f>"0611861772100"</f>
        <v>0611861772100</v>
      </c>
      <c r="B4252" t="str">
        <f>"CN5103"</f>
        <v>CN5103</v>
      </c>
      <c r="C4252" t="s">
        <v>4159</v>
      </c>
    </row>
    <row r="4253" spans="1:3" x14ac:dyDescent="0.25">
      <c r="A4253" t="str">
        <f>"0611861773100"</f>
        <v>0611861773100</v>
      </c>
      <c r="B4253" t="str">
        <f>"CN5104"</f>
        <v>CN5104</v>
      </c>
      <c r="C4253" t="s">
        <v>4160</v>
      </c>
    </row>
    <row r="4254" spans="1:3" x14ac:dyDescent="0.25">
      <c r="A4254" t="str">
        <f>"0611861774100"</f>
        <v>0611861774100</v>
      </c>
      <c r="B4254" t="str">
        <f>"CN5105"</f>
        <v>CN5105</v>
      </c>
      <c r="C4254" t="s">
        <v>4161</v>
      </c>
    </row>
    <row r="4255" spans="1:3" x14ac:dyDescent="0.25">
      <c r="A4255" t="str">
        <f>"0611861775100"</f>
        <v>0611861775100</v>
      </c>
      <c r="B4255" t="str">
        <f>"CN5106"</f>
        <v>CN5106</v>
      </c>
      <c r="C4255" t="s">
        <v>4162</v>
      </c>
    </row>
    <row r="4256" spans="1:3" x14ac:dyDescent="0.25">
      <c r="A4256" t="str">
        <f>"0611861776100"</f>
        <v>0611861776100</v>
      </c>
      <c r="B4256" t="str">
        <f>"CN5107"</f>
        <v>CN5107</v>
      </c>
      <c r="C4256" t="s">
        <v>4163</v>
      </c>
    </row>
    <row r="4257" spans="1:3" x14ac:dyDescent="0.25">
      <c r="A4257" t="str">
        <f>"0611861777100"</f>
        <v>0611861777100</v>
      </c>
      <c r="B4257" t="str">
        <f>"CN5108"</f>
        <v>CN5108</v>
      </c>
      <c r="C4257" t="s">
        <v>4164</v>
      </c>
    </row>
    <row r="4258" spans="1:3" x14ac:dyDescent="0.25">
      <c r="A4258" t="str">
        <f>"0611861779100"</f>
        <v>0611861779100</v>
      </c>
      <c r="B4258" t="str">
        <f>"CN5109"</f>
        <v>CN5109</v>
      </c>
      <c r="C4258" t="s">
        <v>4165</v>
      </c>
    </row>
    <row r="4259" spans="1:3" x14ac:dyDescent="0.25">
      <c r="A4259" t="str">
        <f>"0611861780050"</f>
        <v>0611861780050</v>
      </c>
      <c r="B4259" t="str">
        <f>"CR3613"</f>
        <v>CR3613</v>
      </c>
      <c r="C4259" t="s">
        <v>4166</v>
      </c>
    </row>
    <row r="4260" spans="1:3" x14ac:dyDescent="0.25">
      <c r="A4260" t="str">
        <f>"0611833996100"</f>
        <v>0611833996100</v>
      </c>
      <c r="B4260" t="str">
        <f>"LB2516"</f>
        <v>LB2516</v>
      </c>
      <c r="C4260" t="s">
        <v>4167</v>
      </c>
    </row>
    <row r="4261" spans="1:3" x14ac:dyDescent="0.25">
      <c r="A4261" t="str">
        <f>"0611833997100"</f>
        <v>0611833997100</v>
      </c>
      <c r="B4261" t="str">
        <f>"LB2517"</f>
        <v>LB2517</v>
      </c>
      <c r="C4261" t="s">
        <v>4168</v>
      </c>
    </row>
    <row r="4262" spans="1:3" x14ac:dyDescent="0.25">
      <c r="A4262" t="str">
        <f>"0611861781100"</f>
        <v>0611861781100</v>
      </c>
      <c r="B4262" t="str">
        <f>"CN5149"</f>
        <v>CN5149</v>
      </c>
      <c r="C4262" t="s">
        <v>4169</v>
      </c>
    </row>
    <row r="4263" spans="1:3" x14ac:dyDescent="0.25">
      <c r="A4263" t="str">
        <f>"0611861782100"</f>
        <v>0611861782100</v>
      </c>
      <c r="B4263" t="str">
        <f>"CN5150"</f>
        <v>CN5150</v>
      </c>
      <c r="C4263" t="s">
        <v>4170</v>
      </c>
    </row>
    <row r="4264" spans="1:3" x14ac:dyDescent="0.25">
      <c r="A4264" t="str">
        <f>"0611861783100"</f>
        <v>0611861783100</v>
      </c>
      <c r="B4264" t="str">
        <f>"CN5151"</f>
        <v>CN5151</v>
      </c>
      <c r="C4264" t="s">
        <v>4171</v>
      </c>
    </row>
    <row r="4265" spans="1:3" x14ac:dyDescent="0.25">
      <c r="A4265" t="str">
        <f>"0611893593100"</f>
        <v>0611893593100</v>
      </c>
      <c r="B4265" t="str">
        <f>"CN5491"</f>
        <v>CN5491</v>
      </c>
      <c r="C4265" t="s">
        <v>4172</v>
      </c>
    </row>
    <row r="4266" spans="1:3" x14ac:dyDescent="0.25">
      <c r="A4266" t="str">
        <f>"0611861784100"</f>
        <v>0611861784100</v>
      </c>
      <c r="B4266" t="str">
        <f>"CN5152"</f>
        <v>CN5152</v>
      </c>
      <c r="C4266" t="s">
        <v>4173</v>
      </c>
    </row>
    <row r="4267" spans="1:3" x14ac:dyDescent="0.25">
      <c r="A4267" t="str">
        <f>"0611833998100"</f>
        <v>0611833998100</v>
      </c>
      <c r="B4267" t="str">
        <f>"LK1555"</f>
        <v>LK1555</v>
      </c>
      <c r="C4267" t="s">
        <v>4174</v>
      </c>
    </row>
    <row r="4268" spans="1:3" x14ac:dyDescent="0.25">
      <c r="A4268" t="str">
        <f>"0611861785100"</f>
        <v>0611861785100</v>
      </c>
      <c r="B4268" t="str">
        <f>"CN5143"</f>
        <v>CN5143</v>
      </c>
      <c r="C4268" t="s">
        <v>4175</v>
      </c>
    </row>
    <row r="4269" spans="1:3" x14ac:dyDescent="0.25">
      <c r="A4269" t="str">
        <f>"0611861786100"</f>
        <v>0611861786100</v>
      </c>
      <c r="B4269" t="str">
        <f>"CN5438"</f>
        <v>CN5438</v>
      </c>
      <c r="C4269" t="s">
        <v>4176</v>
      </c>
    </row>
    <row r="4270" spans="1:3" x14ac:dyDescent="0.25">
      <c r="A4270" t="str">
        <f>"0611861787100"</f>
        <v>0611861787100</v>
      </c>
      <c r="B4270" t="str">
        <f>"CN5153"</f>
        <v>CN5153</v>
      </c>
      <c r="C4270" t="s">
        <v>4177</v>
      </c>
    </row>
    <row r="4271" spans="1:3" x14ac:dyDescent="0.25">
      <c r="A4271" t="str">
        <f>"0611861788100"</f>
        <v>0611861788100</v>
      </c>
      <c r="B4271" t="str">
        <f>"CN5155"</f>
        <v>CN5155</v>
      </c>
      <c r="C4271" t="s">
        <v>4178</v>
      </c>
    </row>
    <row r="4272" spans="1:3" x14ac:dyDescent="0.25">
      <c r="A4272" t="str">
        <f>"0611861789100"</f>
        <v>0611861789100</v>
      </c>
      <c r="B4272" t="str">
        <f>"CN5154"</f>
        <v>CN5154</v>
      </c>
      <c r="C4272" t="s">
        <v>4179</v>
      </c>
    </row>
    <row r="4273" spans="1:3" x14ac:dyDescent="0.25">
      <c r="A4273" t="str">
        <f>"0611861790050"</f>
        <v>0611861790050</v>
      </c>
      <c r="B4273" t="str">
        <f>"CN5439"</f>
        <v>CN5439</v>
      </c>
      <c r="C4273" t="s">
        <v>4180</v>
      </c>
    </row>
    <row r="4274" spans="1:3" x14ac:dyDescent="0.25">
      <c r="A4274" t="str">
        <f>"0611833999100"</f>
        <v>0611833999100</v>
      </c>
      <c r="B4274" t="str">
        <f>"LH0027"</f>
        <v>LH0027</v>
      </c>
      <c r="C4274" t="s">
        <v>4181</v>
      </c>
    </row>
    <row r="4275" spans="1:3" x14ac:dyDescent="0.25">
      <c r="A4275" t="str">
        <f>"0611834000025"</f>
        <v>0611834000025</v>
      </c>
      <c r="B4275" t="str">
        <f>"MC4333"</f>
        <v>MC4333</v>
      </c>
      <c r="C4275" t="s">
        <v>4182</v>
      </c>
    </row>
    <row r="4276" spans="1:3" x14ac:dyDescent="0.25">
      <c r="A4276" t="str">
        <f>"0611834001100"</f>
        <v>0611834001100</v>
      </c>
      <c r="B4276" t="str">
        <f>"LH0028"</f>
        <v>LH0028</v>
      </c>
      <c r="C4276" t="s">
        <v>4183</v>
      </c>
    </row>
    <row r="4277" spans="1:3" x14ac:dyDescent="0.25">
      <c r="A4277" t="str">
        <f>"0611834002025"</f>
        <v>0611834002025</v>
      </c>
      <c r="B4277" t="str">
        <f>"MC4334"</f>
        <v>MC4334</v>
      </c>
      <c r="C4277" t="s">
        <v>4184</v>
      </c>
    </row>
    <row r="4278" spans="1:3" x14ac:dyDescent="0.25">
      <c r="A4278" t="str">
        <f>"0611834003100"</f>
        <v>0611834003100</v>
      </c>
      <c r="B4278" t="str">
        <f>"LH0003"</f>
        <v>LH0003</v>
      </c>
      <c r="C4278" t="s">
        <v>4185</v>
      </c>
    </row>
    <row r="4279" spans="1:3" x14ac:dyDescent="0.25">
      <c r="A4279" t="str">
        <f>"0611834004025"</f>
        <v>0611834004025</v>
      </c>
      <c r="B4279" t="str">
        <f>"MC4286"</f>
        <v>MC4286</v>
      </c>
      <c r="C4279" t="s">
        <v>4186</v>
      </c>
    </row>
    <row r="4280" spans="1:3" x14ac:dyDescent="0.25">
      <c r="A4280" t="str">
        <f>"0611834005100"</f>
        <v>0611834005100</v>
      </c>
      <c r="B4280" t="str">
        <f>"LH0029"</f>
        <v>LH0029</v>
      </c>
      <c r="C4280" t="s">
        <v>4187</v>
      </c>
    </row>
    <row r="4281" spans="1:3" x14ac:dyDescent="0.25">
      <c r="A4281" t="str">
        <f>"0611834006025"</f>
        <v>0611834006025</v>
      </c>
      <c r="B4281" t="str">
        <f>"MC4335"</f>
        <v>MC4335</v>
      </c>
      <c r="C4281" t="s">
        <v>4188</v>
      </c>
    </row>
    <row r="4282" spans="1:3" x14ac:dyDescent="0.25">
      <c r="A4282" t="str">
        <f>"0611834007100"</f>
        <v>0611834007100</v>
      </c>
      <c r="B4282" t="str">
        <f>"LH0043"</f>
        <v>LH0043</v>
      </c>
      <c r="C4282" t="s">
        <v>4190</v>
      </c>
    </row>
    <row r="4283" spans="1:3" x14ac:dyDescent="0.25">
      <c r="A4283" t="str">
        <f>"0611834008025"</f>
        <v>0611834008025</v>
      </c>
      <c r="B4283" t="str">
        <f>"MC4402"</f>
        <v>MC4402</v>
      </c>
      <c r="C4283" t="s">
        <v>4189</v>
      </c>
    </row>
    <row r="4284" spans="1:3" x14ac:dyDescent="0.25">
      <c r="A4284" t="str">
        <f>"0611833811025"</f>
        <v>0611833811025</v>
      </c>
      <c r="B4284" t="str">
        <f>"MQ0392"</f>
        <v>MQ0392</v>
      </c>
      <c r="C4284" t="s">
        <v>4191</v>
      </c>
    </row>
    <row r="4285" spans="1:3" x14ac:dyDescent="0.25">
      <c r="A4285" t="str">
        <f>"0611833812025"</f>
        <v>0611833812025</v>
      </c>
      <c r="B4285" t="str">
        <f>"MQ0393"</f>
        <v>MQ0393</v>
      </c>
      <c r="C4285" t="s">
        <v>4192</v>
      </c>
    </row>
    <row r="4286" spans="1:3" x14ac:dyDescent="0.25">
      <c r="A4286" t="str">
        <f>"0611833813025"</f>
        <v>0611833813025</v>
      </c>
      <c r="B4286" t="str">
        <f>"MQ0394"</f>
        <v>MQ0394</v>
      </c>
      <c r="C4286" t="s">
        <v>4193</v>
      </c>
    </row>
    <row r="4287" spans="1:3" x14ac:dyDescent="0.25">
      <c r="A4287" t="str">
        <f>"0611833814025"</f>
        <v>0611833814025</v>
      </c>
      <c r="B4287" t="str">
        <f>"MQ0396"</f>
        <v>MQ0396</v>
      </c>
      <c r="C4287" t="s">
        <v>4194</v>
      </c>
    </row>
    <row r="4288" spans="1:3" x14ac:dyDescent="0.25">
      <c r="A4288" t="str">
        <f>"0611833815025"</f>
        <v>0611833815025</v>
      </c>
      <c r="B4288" t="str">
        <f>"MQ0399"</f>
        <v>MQ0399</v>
      </c>
      <c r="C4288" t="s">
        <v>4195</v>
      </c>
    </row>
    <row r="4289" spans="1:3" x14ac:dyDescent="0.25">
      <c r="A4289" t="str">
        <f>"0611833817025"</f>
        <v>0611833817025</v>
      </c>
      <c r="B4289" t="str">
        <f>"MQ0400"</f>
        <v>MQ0400</v>
      </c>
      <c r="C4289" t="s">
        <v>4197</v>
      </c>
    </row>
    <row r="4290" spans="1:3" x14ac:dyDescent="0.25">
      <c r="A4290" t="str">
        <f>"0611833816025"</f>
        <v>0611833816025</v>
      </c>
      <c r="B4290" t="str">
        <f>"MQ0397"</f>
        <v>MQ0397</v>
      </c>
      <c r="C4290" t="s">
        <v>4196</v>
      </c>
    </row>
    <row r="4291" spans="1:3" x14ac:dyDescent="0.25">
      <c r="A4291" t="str">
        <f>"0611833818025"</f>
        <v>0611833818025</v>
      </c>
      <c r="B4291" t="str">
        <f>"MQ0401"</f>
        <v>MQ0401</v>
      </c>
      <c r="C4291" t="s">
        <v>4198</v>
      </c>
    </row>
    <row r="4292" spans="1:3" x14ac:dyDescent="0.25">
      <c r="A4292" t="str">
        <f>"0611833819025"</f>
        <v>0611833819025</v>
      </c>
      <c r="B4292" t="str">
        <f>"MQ0175"</f>
        <v>MQ0175</v>
      </c>
      <c r="C4292" t="s">
        <v>4199</v>
      </c>
    </row>
    <row r="4293" spans="1:3" x14ac:dyDescent="0.25">
      <c r="A4293" t="str">
        <f>"0611833820025"</f>
        <v>0611833820025</v>
      </c>
      <c r="B4293" t="str">
        <f>"MQ0638"</f>
        <v>MQ0638</v>
      </c>
      <c r="C4293" t="s">
        <v>4200</v>
      </c>
    </row>
    <row r="4294" spans="1:3" x14ac:dyDescent="0.25">
      <c r="A4294" t="str">
        <f>"0611833821025"</f>
        <v>0611833821025</v>
      </c>
      <c r="B4294" t="str">
        <f>"MQ0398"</f>
        <v>MQ0398</v>
      </c>
      <c r="C4294" t="s">
        <v>4201</v>
      </c>
    </row>
    <row r="4295" spans="1:3" x14ac:dyDescent="0.25">
      <c r="A4295" t="str">
        <f>"0611834012100"</f>
        <v>0611834012100</v>
      </c>
      <c r="B4295" t="str">
        <f>"LK1558"</f>
        <v>LK1558</v>
      </c>
      <c r="C4295" t="s">
        <v>4202</v>
      </c>
    </row>
    <row r="4296" spans="1:3" x14ac:dyDescent="0.25">
      <c r="A4296" t="str">
        <f>"0611861791100"</f>
        <v>0611861791100</v>
      </c>
      <c r="B4296" t="str">
        <f>"CN5141"</f>
        <v>CN5141</v>
      </c>
      <c r="C4296" t="s">
        <v>4203</v>
      </c>
    </row>
    <row r="4297" spans="1:3" x14ac:dyDescent="0.25">
      <c r="A4297" t="str">
        <f>"0611861792100"</f>
        <v>0611861792100</v>
      </c>
      <c r="B4297" t="str">
        <f>"CN5129"</f>
        <v>CN5129</v>
      </c>
      <c r="C4297" t="s">
        <v>4204</v>
      </c>
    </row>
    <row r="4298" spans="1:3" x14ac:dyDescent="0.25">
      <c r="A4298" t="str">
        <f>"0611861793100"</f>
        <v>0611861793100</v>
      </c>
      <c r="B4298" t="str">
        <f>"CN5131"</f>
        <v>CN5131</v>
      </c>
      <c r="C4298" t="s">
        <v>4205</v>
      </c>
    </row>
    <row r="4299" spans="1:3" x14ac:dyDescent="0.25">
      <c r="A4299" t="str">
        <f>"0611861794100"</f>
        <v>0611861794100</v>
      </c>
      <c r="B4299" t="str">
        <f>"CN5135"</f>
        <v>CN5135</v>
      </c>
      <c r="C4299" t="s">
        <v>4206</v>
      </c>
    </row>
    <row r="4300" spans="1:3" x14ac:dyDescent="0.25">
      <c r="A4300" t="str">
        <f>"0611861795100"</f>
        <v>0611861795100</v>
      </c>
      <c r="B4300" t="str">
        <f>"CN5136"</f>
        <v>CN5136</v>
      </c>
      <c r="C4300" t="s">
        <v>4207</v>
      </c>
    </row>
    <row r="4301" spans="1:3" x14ac:dyDescent="0.25">
      <c r="A4301" t="str">
        <f>"0611861796100"</f>
        <v>0611861796100</v>
      </c>
      <c r="B4301" t="str">
        <f>"CN5132"</f>
        <v>CN5132</v>
      </c>
      <c r="C4301" t="s">
        <v>4208</v>
      </c>
    </row>
    <row r="4302" spans="1:3" x14ac:dyDescent="0.25">
      <c r="A4302" t="str">
        <f>"0611861797100"</f>
        <v>0611861797100</v>
      </c>
      <c r="B4302" t="str">
        <f>"CN5133"</f>
        <v>CN5133</v>
      </c>
      <c r="C4302" t="s">
        <v>4209</v>
      </c>
    </row>
    <row r="4303" spans="1:3" x14ac:dyDescent="0.25">
      <c r="A4303" t="str">
        <f>"0611906560050"</f>
        <v>0611906560050</v>
      </c>
      <c r="B4303" t="str">
        <f>"CR5526"</f>
        <v>CR5526</v>
      </c>
      <c r="C4303" t="s">
        <v>4211</v>
      </c>
    </row>
    <row r="4304" spans="1:3" x14ac:dyDescent="0.25">
      <c r="A4304" t="str">
        <f>"0611861798100"</f>
        <v>0611861798100</v>
      </c>
      <c r="B4304" t="str">
        <f>"CN5130"</f>
        <v>CN5130</v>
      </c>
      <c r="C4304" t="s">
        <v>4210</v>
      </c>
    </row>
    <row r="4305" spans="1:3" x14ac:dyDescent="0.25">
      <c r="A4305" t="str">
        <f>"0611861799100"</f>
        <v>0611861799100</v>
      </c>
      <c r="B4305" t="str">
        <f>"CN5134"</f>
        <v>CN5134</v>
      </c>
      <c r="C4305" t="s">
        <v>4212</v>
      </c>
    </row>
    <row r="4306" spans="1:3" x14ac:dyDescent="0.25">
      <c r="A4306" t="str">
        <f>"0611861800100"</f>
        <v>0611861800100</v>
      </c>
      <c r="B4306" t="str">
        <f>"CN5137"</f>
        <v>CN5137</v>
      </c>
      <c r="C4306" t="s">
        <v>4213</v>
      </c>
    </row>
    <row r="4307" spans="1:3" x14ac:dyDescent="0.25">
      <c r="A4307" t="str">
        <f>"0611884182025"</f>
        <v>0611884182025</v>
      </c>
      <c r="B4307" t="str">
        <f>"MQ3221"</f>
        <v>MQ3221</v>
      </c>
      <c r="C4307" t="s">
        <v>4214</v>
      </c>
    </row>
    <row r="4308" spans="1:3" x14ac:dyDescent="0.25">
      <c r="A4308" t="str">
        <f>"0611861801100"</f>
        <v>0611861801100</v>
      </c>
      <c r="B4308" t="str">
        <f>"CN5110"</f>
        <v>CN5110</v>
      </c>
      <c r="C4308" t="s">
        <v>4215</v>
      </c>
    </row>
    <row r="4309" spans="1:3" x14ac:dyDescent="0.25">
      <c r="A4309" t="str">
        <f>"0611856914025"</f>
        <v>0611856914025</v>
      </c>
      <c r="B4309" t="str">
        <f>"MQ7326"</f>
        <v>MQ7326</v>
      </c>
      <c r="C4309" t="s">
        <v>4216</v>
      </c>
    </row>
    <row r="4310" spans="1:3" x14ac:dyDescent="0.25">
      <c r="A4310" t="str">
        <f>"0611861802100"</f>
        <v>0611861802100</v>
      </c>
      <c r="B4310" t="str">
        <f>"CN5111"</f>
        <v>CN5111</v>
      </c>
      <c r="C4310" t="s">
        <v>4217</v>
      </c>
    </row>
    <row r="4311" spans="1:3" x14ac:dyDescent="0.25">
      <c r="A4311" t="str">
        <f>"0611856915025"</f>
        <v>0611856915025</v>
      </c>
      <c r="B4311" t="str">
        <f>"MQ7327"</f>
        <v>MQ7327</v>
      </c>
      <c r="C4311" t="s">
        <v>4218</v>
      </c>
    </row>
    <row r="4312" spans="1:3" x14ac:dyDescent="0.25">
      <c r="A4312" t="str">
        <f>"0611861803100"</f>
        <v>0611861803100</v>
      </c>
      <c r="B4312" t="str">
        <f>"CN5112"</f>
        <v>CN5112</v>
      </c>
      <c r="C4312" t="s">
        <v>4219</v>
      </c>
    </row>
    <row r="4313" spans="1:3" x14ac:dyDescent="0.25">
      <c r="A4313" t="str">
        <f>"0611856916025"</f>
        <v>0611856916025</v>
      </c>
      <c r="B4313" t="str">
        <f>"MQ7328"</f>
        <v>MQ7328</v>
      </c>
      <c r="C4313" t="s">
        <v>4220</v>
      </c>
    </row>
    <row r="4314" spans="1:3" x14ac:dyDescent="0.25">
      <c r="A4314" t="str">
        <f>"0611861805050"</f>
        <v>0611861805050</v>
      </c>
      <c r="B4314" t="str">
        <f>"CR3617"</f>
        <v>CR3617</v>
      </c>
      <c r="C4314" t="s">
        <v>4221</v>
      </c>
    </row>
    <row r="4315" spans="1:3" x14ac:dyDescent="0.25">
      <c r="A4315" t="str">
        <f>"0611861806100"</f>
        <v>0611861806100</v>
      </c>
      <c r="B4315" t="str">
        <f>"CN5113"</f>
        <v>CN5113</v>
      </c>
      <c r="C4315" t="s">
        <v>4222</v>
      </c>
    </row>
    <row r="4316" spans="1:3" x14ac:dyDescent="0.25">
      <c r="A4316" t="str">
        <f>"0611856917025"</f>
        <v>0611856917025</v>
      </c>
      <c r="B4316" t="str">
        <f>"MQ7329"</f>
        <v>MQ7329</v>
      </c>
      <c r="C4316" t="s">
        <v>4223</v>
      </c>
    </row>
    <row r="4317" spans="1:3" x14ac:dyDescent="0.25">
      <c r="A4317" t="str">
        <f>"0611861807100"</f>
        <v>0611861807100</v>
      </c>
      <c r="B4317" t="str">
        <f>"CN5114"</f>
        <v>CN5114</v>
      </c>
      <c r="C4317" t="s">
        <v>4224</v>
      </c>
    </row>
    <row r="4318" spans="1:3" x14ac:dyDescent="0.25">
      <c r="A4318" t="str">
        <f>"0611856918025"</f>
        <v>0611856918025</v>
      </c>
      <c r="B4318" t="str">
        <f>"MQ7330"</f>
        <v>MQ7330</v>
      </c>
      <c r="C4318" t="s">
        <v>4225</v>
      </c>
    </row>
    <row r="4319" spans="1:3" x14ac:dyDescent="0.25">
      <c r="A4319" t="str">
        <f>"0611861808100"</f>
        <v>0611861808100</v>
      </c>
      <c r="B4319" t="str">
        <f>"CN5115"</f>
        <v>CN5115</v>
      </c>
      <c r="C4319" t="s">
        <v>4226</v>
      </c>
    </row>
    <row r="4320" spans="1:3" x14ac:dyDescent="0.25">
      <c r="A4320" t="str">
        <f>"0611856919025"</f>
        <v>0611856919025</v>
      </c>
      <c r="B4320" t="str">
        <f>"MQ7331"</f>
        <v>MQ7331</v>
      </c>
      <c r="C4320" t="s">
        <v>4227</v>
      </c>
    </row>
    <row r="4321" spans="1:3" x14ac:dyDescent="0.25">
      <c r="A4321" t="str">
        <f>"0611861809100"</f>
        <v>0611861809100</v>
      </c>
      <c r="B4321" t="str">
        <f>"CN5116"</f>
        <v>CN5116</v>
      </c>
      <c r="C4321" t="s">
        <v>4228</v>
      </c>
    </row>
    <row r="4322" spans="1:3" x14ac:dyDescent="0.25">
      <c r="A4322" t="str">
        <f>"0611856920025"</f>
        <v>0611856920025</v>
      </c>
      <c r="B4322" t="str">
        <f>"MQ7332"</f>
        <v>MQ7332</v>
      </c>
      <c r="C4322" t="s">
        <v>4229</v>
      </c>
    </row>
    <row r="4323" spans="1:3" x14ac:dyDescent="0.25">
      <c r="A4323" t="str">
        <f>"0611861810050"</f>
        <v>0611861810050</v>
      </c>
      <c r="B4323" t="str">
        <f>"CR3619"</f>
        <v>CR3619</v>
      </c>
      <c r="C4323" t="s">
        <v>4230</v>
      </c>
    </row>
    <row r="4324" spans="1:3" x14ac:dyDescent="0.25">
      <c r="A4324" t="str">
        <f>"0611861811100"</f>
        <v>0611861811100</v>
      </c>
      <c r="B4324" t="str">
        <f>"CN5117"</f>
        <v>CN5117</v>
      </c>
      <c r="C4324" t="s">
        <v>4231</v>
      </c>
    </row>
    <row r="4325" spans="1:3" x14ac:dyDescent="0.25">
      <c r="A4325" t="str">
        <f>"0611856921025"</f>
        <v>0611856921025</v>
      </c>
      <c r="B4325" t="str">
        <f>"MQ7333"</f>
        <v>MQ7333</v>
      </c>
      <c r="C4325" t="s">
        <v>4232</v>
      </c>
    </row>
    <row r="4326" spans="1:3" x14ac:dyDescent="0.25">
      <c r="A4326" t="str">
        <f>"0611861812100"</f>
        <v>0611861812100</v>
      </c>
      <c r="B4326" t="str">
        <f>"CN5118"</f>
        <v>CN5118</v>
      </c>
      <c r="C4326" t="s">
        <v>4233</v>
      </c>
    </row>
    <row r="4327" spans="1:3" x14ac:dyDescent="0.25">
      <c r="A4327" t="str">
        <f>"0611856922025"</f>
        <v>0611856922025</v>
      </c>
      <c r="B4327" t="str">
        <f>"MQ7334"</f>
        <v>MQ7334</v>
      </c>
      <c r="C4327" t="s">
        <v>4234</v>
      </c>
    </row>
    <row r="4328" spans="1:3" x14ac:dyDescent="0.25">
      <c r="A4328" t="str">
        <f>"0611861813100"</f>
        <v>0611861813100</v>
      </c>
      <c r="B4328" t="str">
        <f>"CN5119"</f>
        <v>CN5119</v>
      </c>
      <c r="C4328" t="s">
        <v>4235</v>
      </c>
    </row>
    <row r="4329" spans="1:3" x14ac:dyDescent="0.25">
      <c r="A4329" t="str">
        <f>"0611856923025"</f>
        <v>0611856923025</v>
      </c>
      <c r="B4329" t="str">
        <f>"MQ7335"</f>
        <v>MQ7335</v>
      </c>
      <c r="C4329" t="s">
        <v>4236</v>
      </c>
    </row>
    <row r="4330" spans="1:3" x14ac:dyDescent="0.25">
      <c r="A4330" t="str">
        <f>"0611861815100"</f>
        <v>0611861815100</v>
      </c>
      <c r="B4330" t="str">
        <f>"CN5120"</f>
        <v>CN5120</v>
      </c>
      <c r="C4330" t="s">
        <v>4237</v>
      </c>
    </row>
    <row r="4331" spans="1:3" x14ac:dyDescent="0.25">
      <c r="A4331" t="str">
        <f>"0611856924025"</f>
        <v>0611856924025</v>
      </c>
      <c r="B4331" t="str">
        <f>"MQ7336"</f>
        <v>MQ7336</v>
      </c>
      <c r="C4331" t="s">
        <v>4238</v>
      </c>
    </row>
    <row r="4332" spans="1:3" x14ac:dyDescent="0.25">
      <c r="A4332" t="str">
        <f>"0611861817100"</f>
        <v>0611861817100</v>
      </c>
      <c r="B4332" t="str">
        <f>"CN2359"</f>
        <v>CN2359</v>
      </c>
      <c r="C4332" t="s">
        <v>4239</v>
      </c>
    </row>
    <row r="4333" spans="1:3" x14ac:dyDescent="0.25">
      <c r="A4333" t="str">
        <f>"0611884183025"</f>
        <v>0611884183025</v>
      </c>
      <c r="B4333" t="str">
        <f>"MQ4000"</f>
        <v>MQ4000</v>
      </c>
      <c r="C4333" t="s">
        <v>4240</v>
      </c>
    </row>
    <row r="4334" spans="1:3" x14ac:dyDescent="0.25">
      <c r="A4334" t="str">
        <f>"0611861818100"</f>
        <v>0611861818100</v>
      </c>
      <c r="B4334" t="str">
        <f>"CN2360"</f>
        <v>CN2360</v>
      </c>
      <c r="C4334" t="s">
        <v>4241</v>
      </c>
    </row>
    <row r="4335" spans="1:3" x14ac:dyDescent="0.25">
      <c r="A4335" t="str">
        <f>"0611884184025"</f>
        <v>0611884184025</v>
      </c>
      <c r="B4335" t="str">
        <f>"MQ4001"</f>
        <v>MQ4001</v>
      </c>
      <c r="C4335" t="s">
        <v>4242</v>
      </c>
    </row>
    <row r="4336" spans="1:3" x14ac:dyDescent="0.25">
      <c r="A4336" t="str">
        <f>"0611861819100"</f>
        <v>0611861819100</v>
      </c>
      <c r="B4336" t="str">
        <f>"CN5121"</f>
        <v>CN5121</v>
      </c>
      <c r="C4336" t="s">
        <v>4243</v>
      </c>
    </row>
    <row r="4337" spans="1:3" x14ac:dyDescent="0.25">
      <c r="A4337" t="str">
        <f>"0611856925025"</f>
        <v>0611856925025</v>
      </c>
      <c r="B4337" t="str">
        <f>"MQ7337"</f>
        <v>MQ7337</v>
      </c>
      <c r="C4337" t="s">
        <v>4244</v>
      </c>
    </row>
    <row r="4338" spans="1:3" x14ac:dyDescent="0.25">
      <c r="A4338" t="str">
        <f>"0611861820050"</f>
        <v>0611861820050</v>
      </c>
      <c r="B4338" t="str">
        <f>"CR3628"</f>
        <v>CR3628</v>
      </c>
      <c r="C4338" t="s">
        <v>4245</v>
      </c>
    </row>
    <row r="4339" spans="1:3" x14ac:dyDescent="0.25">
      <c r="A4339" t="str">
        <f>"0611906561100"</f>
        <v>0611906561100</v>
      </c>
      <c r="B4339" t="str">
        <f>"CN5488"</f>
        <v>CN5488</v>
      </c>
      <c r="C4339" t="s">
        <v>4246</v>
      </c>
    </row>
    <row r="4340" spans="1:3" x14ac:dyDescent="0.25">
      <c r="A4340" t="str">
        <f>"0611861821050"</f>
        <v>0611861821050</v>
      </c>
      <c r="B4340" t="str">
        <f>"CR3796"</f>
        <v>CR3796</v>
      </c>
      <c r="C4340" t="s">
        <v>4247</v>
      </c>
    </row>
    <row r="4341" spans="1:3" x14ac:dyDescent="0.25">
      <c r="A4341" t="str">
        <f>"0611861822100"</f>
        <v>0611861822100</v>
      </c>
      <c r="B4341" t="str">
        <f>"CN5122"</f>
        <v>CN5122</v>
      </c>
      <c r="C4341" t="s">
        <v>4248</v>
      </c>
    </row>
    <row r="4342" spans="1:3" x14ac:dyDescent="0.25">
      <c r="A4342" t="str">
        <f>"0611856926025"</f>
        <v>0611856926025</v>
      </c>
      <c r="B4342" t="str">
        <f>"MQ7338"</f>
        <v>MQ7338</v>
      </c>
      <c r="C4342" t="s">
        <v>4249</v>
      </c>
    </row>
    <row r="4343" spans="1:3" x14ac:dyDescent="0.25">
      <c r="A4343" t="str">
        <f>"0611861823050"</f>
        <v>0611861823050</v>
      </c>
      <c r="B4343" t="str">
        <f>"CR3629"</f>
        <v>CR3629</v>
      </c>
      <c r="C4343" t="s">
        <v>4250</v>
      </c>
    </row>
    <row r="4344" spans="1:3" x14ac:dyDescent="0.25">
      <c r="A4344" t="str">
        <f>"0611861824050"</f>
        <v>0611861824050</v>
      </c>
      <c r="B4344" t="str">
        <f>"CR3630"</f>
        <v>CR3630</v>
      </c>
      <c r="C4344" t="s">
        <v>4251</v>
      </c>
    </row>
    <row r="4345" spans="1:3" x14ac:dyDescent="0.25">
      <c r="A4345" t="str">
        <f>"0611861825050"</f>
        <v>0611861825050</v>
      </c>
      <c r="B4345" t="str">
        <f>"CR3631"</f>
        <v>CR3631</v>
      </c>
      <c r="C4345" t="s">
        <v>4252</v>
      </c>
    </row>
    <row r="4346" spans="1:3" x14ac:dyDescent="0.25">
      <c r="A4346" t="str">
        <f>"0611861826100"</f>
        <v>0611861826100</v>
      </c>
      <c r="B4346" t="str">
        <f>"CN5123"</f>
        <v>CN5123</v>
      </c>
      <c r="C4346" t="s">
        <v>4253</v>
      </c>
    </row>
    <row r="4347" spans="1:3" x14ac:dyDescent="0.25">
      <c r="A4347" t="str">
        <f>"0611856927025"</f>
        <v>0611856927025</v>
      </c>
      <c r="B4347" t="str">
        <f>"MQ7339"</f>
        <v>MQ7339</v>
      </c>
      <c r="C4347" t="s">
        <v>4254</v>
      </c>
    </row>
    <row r="4348" spans="1:3" x14ac:dyDescent="0.25">
      <c r="A4348" t="str">
        <f>"0611861827050"</f>
        <v>0611861827050</v>
      </c>
      <c r="B4348" t="str">
        <f>"CR3633"</f>
        <v>CR3633</v>
      </c>
      <c r="C4348" t="s">
        <v>4255</v>
      </c>
    </row>
    <row r="4349" spans="1:3" x14ac:dyDescent="0.25">
      <c r="A4349" t="str">
        <f>"0611906562100"</f>
        <v>0611906562100</v>
      </c>
      <c r="B4349" t="str">
        <f>"CN5489"</f>
        <v>CN5489</v>
      </c>
      <c r="C4349" t="s">
        <v>4256</v>
      </c>
    </row>
    <row r="4350" spans="1:3" x14ac:dyDescent="0.25">
      <c r="A4350" t="str">
        <f>"0611856928025"</f>
        <v>0611856928025</v>
      </c>
      <c r="B4350" t="str">
        <f>"MQ7340"</f>
        <v>MQ7340</v>
      </c>
      <c r="C4350" t="s">
        <v>4257</v>
      </c>
    </row>
    <row r="4351" spans="1:3" x14ac:dyDescent="0.25">
      <c r="A4351" t="str">
        <f>"0611861829050"</f>
        <v>0611861829050</v>
      </c>
      <c r="B4351" t="str">
        <f>"CR3797"</f>
        <v>CR3797</v>
      </c>
      <c r="C4351" t="s">
        <v>4258</v>
      </c>
    </row>
    <row r="4352" spans="1:3" x14ac:dyDescent="0.25">
      <c r="A4352" t="str">
        <f>"0611861830050"</f>
        <v>0611861830050</v>
      </c>
      <c r="B4352" t="str">
        <f>"CR3635"</f>
        <v>CR3635</v>
      </c>
      <c r="C4352" t="s">
        <v>4259</v>
      </c>
    </row>
    <row r="4353" spans="1:3" x14ac:dyDescent="0.25">
      <c r="A4353" t="str">
        <f>"0611861831100"</f>
        <v>0611861831100</v>
      </c>
      <c r="B4353" t="str">
        <f>"CN5125"</f>
        <v>CN5125</v>
      </c>
      <c r="C4353" t="s">
        <v>4260</v>
      </c>
    </row>
    <row r="4354" spans="1:3" x14ac:dyDescent="0.25">
      <c r="A4354" t="str">
        <f>"0611856929025"</f>
        <v>0611856929025</v>
      </c>
      <c r="B4354" t="str">
        <f>"MQ7341"</f>
        <v>MQ7341</v>
      </c>
      <c r="C4354" t="s">
        <v>4261</v>
      </c>
    </row>
    <row r="4355" spans="1:3" x14ac:dyDescent="0.25">
      <c r="A4355" t="str">
        <f>"0611861832100"</f>
        <v>0611861832100</v>
      </c>
      <c r="B4355" t="str">
        <f>"CN2361"</f>
        <v>CN2361</v>
      </c>
      <c r="C4355" t="s">
        <v>4262</v>
      </c>
    </row>
    <row r="4356" spans="1:3" x14ac:dyDescent="0.25">
      <c r="A4356" t="str">
        <f>"0611884185025"</f>
        <v>0611884185025</v>
      </c>
      <c r="B4356" t="str">
        <f>"MQ4002"</f>
        <v>MQ4002</v>
      </c>
      <c r="C4356" t="s">
        <v>4263</v>
      </c>
    </row>
    <row r="4357" spans="1:3" x14ac:dyDescent="0.25">
      <c r="A4357" t="str">
        <f>"0611861833050"</f>
        <v>0611861833050</v>
      </c>
      <c r="B4357" t="str">
        <f>"CR3788"</f>
        <v>CR3788</v>
      </c>
      <c r="C4357" t="s">
        <v>4264</v>
      </c>
    </row>
    <row r="4358" spans="1:3" x14ac:dyDescent="0.25">
      <c r="A4358" t="str">
        <f>"0611906563100"</f>
        <v>0611906563100</v>
      </c>
      <c r="B4358" t="str">
        <f>"CN5490"</f>
        <v>CN5490</v>
      </c>
      <c r="C4358" t="s">
        <v>4265</v>
      </c>
    </row>
    <row r="4359" spans="1:3" x14ac:dyDescent="0.25">
      <c r="A4359" t="str">
        <f>"0611861834100"</f>
        <v>0611861834100</v>
      </c>
      <c r="B4359" t="str">
        <f>"CN2362"</f>
        <v>CN2362</v>
      </c>
      <c r="C4359" t="s">
        <v>4266</v>
      </c>
    </row>
    <row r="4360" spans="1:3" x14ac:dyDescent="0.25">
      <c r="A4360" t="str">
        <f>"0611884186025"</f>
        <v>0611884186025</v>
      </c>
      <c r="B4360" t="str">
        <f>"MQ4003"</f>
        <v>MQ4003</v>
      </c>
      <c r="C4360" t="s">
        <v>4267</v>
      </c>
    </row>
    <row r="4361" spans="1:3" x14ac:dyDescent="0.25">
      <c r="A4361" t="str">
        <f>"0611861835100"</f>
        <v>0611861835100</v>
      </c>
      <c r="B4361" t="str">
        <f>"CN5126"</f>
        <v>CN5126</v>
      </c>
      <c r="C4361" t="s">
        <v>4268</v>
      </c>
    </row>
    <row r="4362" spans="1:3" x14ac:dyDescent="0.25">
      <c r="A4362" t="str">
        <f>"0611856930025"</f>
        <v>0611856930025</v>
      </c>
      <c r="B4362" t="str">
        <f>"MQ7342"</f>
        <v>MQ7342</v>
      </c>
      <c r="C4362" t="s">
        <v>4269</v>
      </c>
    </row>
    <row r="4363" spans="1:3" x14ac:dyDescent="0.25">
      <c r="A4363" t="str">
        <f>"0611861836100"</f>
        <v>0611861836100</v>
      </c>
      <c r="B4363" t="str">
        <f>"CN5127"</f>
        <v>CN5127</v>
      </c>
      <c r="C4363" t="s">
        <v>4270</v>
      </c>
    </row>
    <row r="4364" spans="1:3" x14ac:dyDescent="0.25">
      <c r="A4364" t="str">
        <f>"0611856931025"</f>
        <v>0611856931025</v>
      </c>
      <c r="B4364" t="str">
        <f>"MQ7343"</f>
        <v>MQ7343</v>
      </c>
      <c r="C4364" t="s">
        <v>4271</v>
      </c>
    </row>
    <row r="4365" spans="1:3" x14ac:dyDescent="0.25">
      <c r="A4365" t="str">
        <f>"0611861838100"</f>
        <v>0611861838100</v>
      </c>
      <c r="B4365" t="str">
        <f>"CN5128"</f>
        <v>CN5128</v>
      </c>
      <c r="C4365" t="s">
        <v>4272</v>
      </c>
    </row>
    <row r="4366" spans="1:3" x14ac:dyDescent="0.25">
      <c r="A4366" t="str">
        <f>"0611856932025"</f>
        <v>0611856932025</v>
      </c>
      <c r="B4366" t="str">
        <f>"MQ7344"</f>
        <v>MQ7344</v>
      </c>
      <c r="C4366" t="s">
        <v>4273</v>
      </c>
    </row>
    <row r="4367" spans="1:3" x14ac:dyDescent="0.25">
      <c r="A4367" t="str">
        <f>"0611834013100"</f>
        <v>0611834013100</v>
      </c>
      <c r="B4367" t="str">
        <f>"LB2459"</f>
        <v>LB2459</v>
      </c>
      <c r="C4367" t="s">
        <v>4274</v>
      </c>
    </row>
    <row r="4368" spans="1:3" x14ac:dyDescent="0.25">
      <c r="A4368" t="str">
        <f>"0611834014100"</f>
        <v>0611834014100</v>
      </c>
      <c r="B4368" t="str">
        <f>"LK3814"</f>
        <v>LK3814</v>
      </c>
      <c r="C4368" t="s">
        <v>4275</v>
      </c>
    </row>
    <row r="4369" spans="1:3" x14ac:dyDescent="0.25">
      <c r="A4369" t="str">
        <f>"0611834015100"</f>
        <v>0611834015100</v>
      </c>
      <c r="B4369" t="str">
        <f>"LK4650"</f>
        <v>LK4650</v>
      </c>
      <c r="C4369" t="s">
        <v>4276</v>
      </c>
    </row>
    <row r="4370" spans="1:3" x14ac:dyDescent="0.25">
      <c r="A4370" t="str">
        <f>"0611834016100"</f>
        <v>0611834016100</v>
      </c>
      <c r="B4370" t="str">
        <f>"LB2460"</f>
        <v>LB2460</v>
      </c>
      <c r="C4370" t="s">
        <v>4277</v>
      </c>
    </row>
    <row r="4371" spans="1:3" x14ac:dyDescent="0.25">
      <c r="A4371" t="str">
        <f>"0611834018100"</f>
        <v>0611834018100</v>
      </c>
      <c r="B4371" t="str">
        <f>"LK2082"</f>
        <v>LK2082</v>
      </c>
      <c r="C4371" t="s">
        <v>4278</v>
      </c>
    </row>
    <row r="4372" spans="1:3" x14ac:dyDescent="0.25">
      <c r="A4372" t="str">
        <f>"0611834019100"</f>
        <v>0611834019100</v>
      </c>
      <c r="B4372" t="str">
        <f>"LK5745"</f>
        <v>LK5745</v>
      </c>
      <c r="C4372" t="s">
        <v>4279</v>
      </c>
    </row>
    <row r="4373" spans="1:3" x14ac:dyDescent="0.25">
      <c r="A4373" t="str">
        <f>"0611834020025"</f>
        <v>0611834020025</v>
      </c>
      <c r="B4373" t="str">
        <f>"MC0848"</f>
        <v>MC0848</v>
      </c>
      <c r="C4373" t="s">
        <v>4280</v>
      </c>
    </row>
    <row r="4374" spans="1:3" x14ac:dyDescent="0.25">
      <c r="A4374" t="str">
        <f>"0611861839100"</f>
        <v>0611861839100</v>
      </c>
      <c r="B4374" t="str">
        <f>"CN5147"</f>
        <v>CN5147</v>
      </c>
      <c r="C4374" t="s">
        <v>4281</v>
      </c>
    </row>
    <row r="4375" spans="1:3" x14ac:dyDescent="0.25">
      <c r="A4375" t="str">
        <f>"0611861840100"</f>
        <v>0611861840100</v>
      </c>
      <c r="B4375" t="str">
        <f>"CN5148"</f>
        <v>CN5148</v>
      </c>
      <c r="C4375" t="s">
        <v>4282</v>
      </c>
    </row>
    <row r="4376" spans="1:3" x14ac:dyDescent="0.25">
      <c r="A4376" t="str">
        <f>"0611834021100"</f>
        <v>0611834021100</v>
      </c>
      <c r="B4376" t="str">
        <f>"LK4651"</f>
        <v>LK4651</v>
      </c>
      <c r="C4376" t="s">
        <v>4283</v>
      </c>
    </row>
    <row r="4377" spans="1:3" x14ac:dyDescent="0.25">
      <c r="A4377" t="str">
        <f>"0611834022100"</f>
        <v>0611834022100</v>
      </c>
      <c r="B4377" t="str">
        <f>"LB2543"</f>
        <v>LB2543</v>
      </c>
      <c r="C4377" t="s">
        <v>4284</v>
      </c>
    </row>
    <row r="4378" spans="1:3" x14ac:dyDescent="0.25">
      <c r="A4378" t="str">
        <f>"0611834023100"</f>
        <v>0611834023100</v>
      </c>
      <c r="B4378" t="str">
        <f>"LK0703"</f>
        <v>LK0703</v>
      </c>
      <c r="C4378" t="s">
        <v>4285</v>
      </c>
    </row>
    <row r="4379" spans="1:3" x14ac:dyDescent="0.25">
      <c r="A4379" t="str">
        <f>"0611834024100"</f>
        <v>0611834024100</v>
      </c>
      <c r="B4379" t="str">
        <f>"LB2542"</f>
        <v>LB2542</v>
      </c>
      <c r="C4379" t="s">
        <v>4286</v>
      </c>
    </row>
    <row r="4380" spans="1:3" x14ac:dyDescent="0.25">
      <c r="A4380" t="str">
        <f>"0611834025100"</f>
        <v>0611834025100</v>
      </c>
      <c r="B4380" t="str">
        <f>"LB2545"</f>
        <v>LB2545</v>
      </c>
      <c r="C4380" t="s">
        <v>4287</v>
      </c>
    </row>
    <row r="4381" spans="1:3" x14ac:dyDescent="0.25">
      <c r="A4381" t="str">
        <f>"0611834026100"</f>
        <v>0611834026100</v>
      </c>
      <c r="B4381" t="str">
        <f>"LB2546"</f>
        <v>LB2546</v>
      </c>
      <c r="C4381" t="s">
        <v>4288</v>
      </c>
    </row>
    <row r="4382" spans="1:3" x14ac:dyDescent="0.25">
      <c r="A4382" t="str">
        <f>"0611834027100"</f>
        <v>0611834027100</v>
      </c>
      <c r="B4382" t="str">
        <f>"LB2499"</f>
        <v>LB2499</v>
      </c>
      <c r="C4382" t="s">
        <v>4289</v>
      </c>
    </row>
    <row r="4383" spans="1:3" x14ac:dyDescent="0.25">
      <c r="A4383" t="str">
        <f>"0611834028100"</f>
        <v>0611834028100</v>
      </c>
      <c r="B4383" t="str">
        <f>"LB2501"</f>
        <v>LB2501</v>
      </c>
      <c r="C4383" t="s">
        <v>4290</v>
      </c>
    </row>
    <row r="4384" spans="1:3" x14ac:dyDescent="0.25">
      <c r="A4384" t="str">
        <f>"0611834029100"</f>
        <v>0611834029100</v>
      </c>
      <c r="B4384" t="str">
        <f>"LB2547"</f>
        <v>LB2547</v>
      </c>
      <c r="C4384" t="s">
        <v>4291</v>
      </c>
    </row>
    <row r="4385" spans="1:3" x14ac:dyDescent="0.25">
      <c r="A4385" t="str">
        <f>"0611834030100"</f>
        <v>0611834030100</v>
      </c>
      <c r="B4385" t="str">
        <f>"LK0704"</f>
        <v>LK0704</v>
      </c>
      <c r="C4385" t="s">
        <v>4292</v>
      </c>
    </row>
    <row r="4386" spans="1:3" x14ac:dyDescent="0.25">
      <c r="A4386" t="str">
        <f>"0611834031100"</f>
        <v>0611834031100</v>
      </c>
      <c r="B4386" t="str">
        <f>"LB2548"</f>
        <v>LB2548</v>
      </c>
      <c r="C4386" t="s">
        <v>4293</v>
      </c>
    </row>
    <row r="4387" spans="1:3" x14ac:dyDescent="0.25">
      <c r="A4387" t="str">
        <f>"0611834032100"</f>
        <v>0611834032100</v>
      </c>
      <c r="B4387" t="str">
        <f>"LB2549"</f>
        <v>LB2549</v>
      </c>
      <c r="C4387" t="s">
        <v>4294</v>
      </c>
    </row>
    <row r="4388" spans="1:3" x14ac:dyDescent="0.25">
      <c r="A4388" t="str">
        <f>"0611834033025"</f>
        <v>0611834033025</v>
      </c>
      <c r="B4388" t="str">
        <f>"MC0243"</f>
        <v>MC0243</v>
      </c>
      <c r="C4388" t="s">
        <v>4295</v>
      </c>
    </row>
    <row r="4389" spans="1:3" x14ac:dyDescent="0.25">
      <c r="A4389" t="str">
        <f>"0611834034025"</f>
        <v>0611834034025</v>
      </c>
      <c r="B4389" t="str">
        <f>"MQ3035"</f>
        <v>MQ3035</v>
      </c>
      <c r="C4389" t="s">
        <v>4296</v>
      </c>
    </row>
    <row r="4390" spans="1:3" x14ac:dyDescent="0.25">
      <c r="A4390" t="str">
        <f>"0611834035100"</f>
        <v>0611834035100</v>
      </c>
      <c r="B4390" t="str">
        <f>"LK6899"</f>
        <v>LK6899</v>
      </c>
      <c r="C4390" t="s">
        <v>4297</v>
      </c>
    </row>
    <row r="4391" spans="1:3" x14ac:dyDescent="0.25">
      <c r="A4391" t="str">
        <f>"0611834036100"</f>
        <v>0611834036100</v>
      </c>
      <c r="B4391" t="str">
        <f>"LK5557"</f>
        <v>LK5557</v>
      </c>
      <c r="C4391" t="s">
        <v>4298</v>
      </c>
    </row>
    <row r="4392" spans="1:3" x14ac:dyDescent="0.25">
      <c r="A4392" t="str">
        <f>"0611834037100"</f>
        <v>0611834037100</v>
      </c>
      <c r="B4392" t="str">
        <f>"LK4469"</f>
        <v>LK4469</v>
      </c>
      <c r="C4392" t="s">
        <v>4299</v>
      </c>
    </row>
    <row r="4393" spans="1:3" x14ac:dyDescent="0.25">
      <c r="A4393" t="str">
        <f>"0611834038100"</f>
        <v>0611834038100</v>
      </c>
      <c r="B4393" t="str">
        <f>"LK6900"</f>
        <v>LK6900</v>
      </c>
      <c r="C4393" t="s">
        <v>4300</v>
      </c>
    </row>
    <row r="4394" spans="1:3" x14ac:dyDescent="0.25">
      <c r="A4394" t="str">
        <f>"0611834039100"</f>
        <v>0611834039100</v>
      </c>
      <c r="B4394" t="str">
        <f>"LB2553"</f>
        <v>LB2553</v>
      </c>
      <c r="C4394" t="s">
        <v>4301</v>
      </c>
    </row>
    <row r="4395" spans="1:3" x14ac:dyDescent="0.25">
      <c r="A4395" t="str">
        <f>"0611834040025"</f>
        <v>0611834040025</v>
      </c>
      <c r="B4395" t="str">
        <f>"MC1125"</f>
        <v>MC1125</v>
      </c>
      <c r="C4395" t="s">
        <v>4302</v>
      </c>
    </row>
    <row r="4396" spans="1:3" x14ac:dyDescent="0.25">
      <c r="A4396" t="str">
        <f>"0611861841050"</f>
        <v>0611861841050</v>
      </c>
      <c r="B4396" t="str">
        <f>"CE0851"</f>
        <v>CE0851</v>
      </c>
      <c r="C4396" t="s">
        <v>4303</v>
      </c>
    </row>
    <row r="4397" spans="1:3" x14ac:dyDescent="0.25">
      <c r="A4397" t="str">
        <f>"0611861842050"</f>
        <v>0611861842050</v>
      </c>
      <c r="B4397" t="str">
        <f>"CE0614"</f>
        <v>CE0614</v>
      </c>
      <c r="C4397" t="s">
        <v>4304</v>
      </c>
    </row>
    <row r="4398" spans="1:3" x14ac:dyDescent="0.25">
      <c r="A4398" t="str">
        <f>"0611861844050"</f>
        <v>0611861844050</v>
      </c>
      <c r="B4398" t="str">
        <f>"CE0770"</f>
        <v>CE0770</v>
      </c>
      <c r="C4398" t="s">
        <v>4305</v>
      </c>
    </row>
    <row r="4399" spans="1:3" x14ac:dyDescent="0.25">
      <c r="A4399" t="str">
        <f>"0611861845050"</f>
        <v>0611861845050</v>
      </c>
      <c r="B4399" t="str">
        <f>"CE0616"</f>
        <v>CE0616</v>
      </c>
      <c r="C4399" t="s">
        <v>4306</v>
      </c>
    </row>
    <row r="4400" spans="1:3" x14ac:dyDescent="0.25">
      <c r="A4400" t="str">
        <f>"0611861846050"</f>
        <v>0611861846050</v>
      </c>
      <c r="B4400" t="str">
        <f>"CE0617"</f>
        <v>CE0617</v>
      </c>
      <c r="C4400" t="s">
        <v>4307</v>
      </c>
    </row>
    <row r="4401" spans="1:3" x14ac:dyDescent="0.25">
      <c r="A4401" t="str">
        <f>"0611861847050"</f>
        <v>0611861847050</v>
      </c>
      <c r="B4401" t="str">
        <f>"CE0618"</f>
        <v>CE0618</v>
      </c>
      <c r="C4401" t="s">
        <v>4308</v>
      </c>
    </row>
    <row r="4402" spans="1:3" x14ac:dyDescent="0.25">
      <c r="A4402" t="str">
        <f>"0611861848050"</f>
        <v>0611861848050</v>
      </c>
      <c r="B4402" t="str">
        <f>"CE0619"</f>
        <v>CE0619</v>
      </c>
      <c r="C4402" t="s">
        <v>4309</v>
      </c>
    </row>
    <row r="4403" spans="1:3" x14ac:dyDescent="0.25">
      <c r="A4403" t="str">
        <f>"0611834042100"</f>
        <v>0611834042100</v>
      </c>
      <c r="B4403" t="str">
        <f>"LK1221"</f>
        <v>LK1221</v>
      </c>
      <c r="C4403" t="s">
        <v>4311</v>
      </c>
    </row>
    <row r="4404" spans="1:3" x14ac:dyDescent="0.25">
      <c r="A4404" t="str">
        <f>"0611834043100"</f>
        <v>0611834043100</v>
      </c>
      <c r="B4404" t="str">
        <f>"LQ6014"</f>
        <v>LQ6014</v>
      </c>
      <c r="C4404" t="s">
        <v>4310</v>
      </c>
    </row>
    <row r="4405" spans="1:3" x14ac:dyDescent="0.25">
      <c r="A4405" t="str">
        <f>"0611861849050"</f>
        <v>0611861849050</v>
      </c>
      <c r="B4405" t="str">
        <f>"CR2197"</f>
        <v>CR2197</v>
      </c>
      <c r="C4405" t="s">
        <v>4312</v>
      </c>
    </row>
    <row r="4406" spans="1:3" x14ac:dyDescent="0.25">
      <c r="A4406" t="str">
        <f>"0611861850050"</f>
        <v>0611861850050</v>
      </c>
      <c r="B4406" t="str">
        <f>"CR3077"</f>
        <v>CR3077</v>
      </c>
      <c r="C4406" t="s">
        <v>4313</v>
      </c>
    </row>
    <row r="4407" spans="1:3" x14ac:dyDescent="0.25">
      <c r="A4407" t="str">
        <f>"0611861851050"</f>
        <v>0611861851050</v>
      </c>
      <c r="B4407" t="str">
        <f>"CR3720"</f>
        <v>CR3720</v>
      </c>
      <c r="C4407" t="s">
        <v>4314</v>
      </c>
    </row>
    <row r="4408" spans="1:3" x14ac:dyDescent="0.25">
      <c r="A4408" t="str">
        <f>"0611861852050"</f>
        <v>0611861852050</v>
      </c>
      <c r="B4408" t="str">
        <f>"CR3078"</f>
        <v>CR3078</v>
      </c>
      <c r="C4408" t="s">
        <v>4315</v>
      </c>
    </row>
    <row r="4409" spans="1:3" x14ac:dyDescent="0.25">
      <c r="A4409" t="str">
        <f>"0611884187100"</f>
        <v>0611884187100</v>
      </c>
      <c r="B4409" t="str">
        <f>"LQ3913"</f>
        <v>LQ3913</v>
      </c>
      <c r="C4409" t="s">
        <v>4316</v>
      </c>
    </row>
    <row r="4410" spans="1:3" x14ac:dyDescent="0.25">
      <c r="A4410" t="str">
        <f>"0611834044100"</f>
        <v>0611834044100</v>
      </c>
      <c r="B4410" t="str">
        <f>"LQ6160"</f>
        <v>LQ6160</v>
      </c>
      <c r="C4410" t="s">
        <v>4317</v>
      </c>
    </row>
    <row r="4411" spans="1:3" x14ac:dyDescent="0.25">
      <c r="A4411" t="str">
        <f>"0611834045025"</f>
        <v>0611834045025</v>
      </c>
      <c r="B4411" t="str">
        <f>"MC0263"</f>
        <v>MC0263</v>
      </c>
      <c r="C4411" t="s">
        <v>4318</v>
      </c>
    </row>
    <row r="4412" spans="1:3" x14ac:dyDescent="0.25">
      <c r="A4412" t="str">
        <f>"0611834046025"</f>
        <v>0611834046025</v>
      </c>
      <c r="B4412" t="str">
        <f>"MC0262"</f>
        <v>MC0262</v>
      </c>
      <c r="C4412" t="s">
        <v>4319</v>
      </c>
    </row>
    <row r="4413" spans="1:3" x14ac:dyDescent="0.25">
      <c r="A4413" t="str">
        <f>"0611834047025"</f>
        <v>0611834047025</v>
      </c>
      <c r="B4413" t="str">
        <f>"MC2802"</f>
        <v>MC2802</v>
      </c>
      <c r="C4413" t="s">
        <v>4320</v>
      </c>
    </row>
    <row r="4414" spans="1:3" x14ac:dyDescent="0.25">
      <c r="A4414" t="str">
        <f>"0611834049025"</f>
        <v>0611834049025</v>
      </c>
      <c r="B4414" t="str">
        <f>"MC0261"</f>
        <v>MC0261</v>
      </c>
      <c r="C4414" t="s">
        <v>4321</v>
      </c>
    </row>
    <row r="4415" spans="1:3" x14ac:dyDescent="0.25">
      <c r="A4415" t="str">
        <f>"0611834050025"</f>
        <v>0611834050025</v>
      </c>
      <c r="B4415" t="str">
        <f>"MC0264"</f>
        <v>MC0264</v>
      </c>
      <c r="C4415" t="s">
        <v>4322</v>
      </c>
    </row>
    <row r="4416" spans="1:3" x14ac:dyDescent="0.25">
      <c r="A4416" t="str">
        <f>"0611834051100"</f>
        <v>0611834051100</v>
      </c>
      <c r="B4416" t="str">
        <f>"LK1222"</f>
        <v>LK1222</v>
      </c>
      <c r="C4416" t="s">
        <v>4323</v>
      </c>
    </row>
    <row r="4417" spans="1:3" x14ac:dyDescent="0.25">
      <c r="A4417" t="str">
        <f>"0611834052100"</f>
        <v>0611834052100</v>
      </c>
      <c r="B4417" t="str">
        <f>"LK0595"</f>
        <v>LK0595</v>
      </c>
      <c r="C4417" t="s">
        <v>4324</v>
      </c>
    </row>
    <row r="4418" spans="1:3" x14ac:dyDescent="0.25">
      <c r="A4418" t="str">
        <f>"0611906737100"</f>
        <v>0611906737100</v>
      </c>
      <c r="B4418" t="str">
        <f>"LK7255"</f>
        <v>LK7255</v>
      </c>
      <c r="C4418" t="s">
        <v>4325</v>
      </c>
    </row>
    <row r="4419" spans="1:3" x14ac:dyDescent="0.25">
      <c r="A4419" t="str">
        <f>"0611834053100"</f>
        <v>0611834053100</v>
      </c>
      <c r="B4419" t="str">
        <f>"LQ3726"</f>
        <v>LQ3726</v>
      </c>
      <c r="C4419" t="s">
        <v>4326</v>
      </c>
    </row>
    <row r="4420" spans="1:3" x14ac:dyDescent="0.25">
      <c r="A4420" t="str">
        <f>"0611834054100"</f>
        <v>0611834054100</v>
      </c>
      <c r="B4420" t="str">
        <f>"LF1815"</f>
        <v>LF1815</v>
      </c>
      <c r="C4420" t="s">
        <v>4327</v>
      </c>
    </row>
    <row r="4421" spans="1:3" x14ac:dyDescent="0.25">
      <c r="A4421" t="str">
        <f>"0611834055100"</f>
        <v>0611834055100</v>
      </c>
      <c r="B4421" t="str">
        <f>"LF1800"</f>
        <v>LF1800</v>
      </c>
      <c r="C4421" t="s">
        <v>4328</v>
      </c>
    </row>
    <row r="4422" spans="1:3" x14ac:dyDescent="0.25">
      <c r="A4422" t="str">
        <f>"0611861853100"</f>
        <v>0611861853100</v>
      </c>
      <c r="B4422" t="str">
        <f>"CN5158"</f>
        <v>CN5158</v>
      </c>
      <c r="C4422" t="s">
        <v>4329</v>
      </c>
    </row>
    <row r="4423" spans="1:3" x14ac:dyDescent="0.25">
      <c r="A4423" t="str">
        <f>"0611861854100"</f>
        <v>0611861854100</v>
      </c>
      <c r="B4423" t="str">
        <f>"CN5156"</f>
        <v>CN5156</v>
      </c>
      <c r="C4423" t="s">
        <v>4330</v>
      </c>
    </row>
    <row r="4424" spans="1:3" x14ac:dyDescent="0.25">
      <c r="A4424" t="str">
        <f>"0611834057025"</f>
        <v>0611834057025</v>
      </c>
      <c r="B4424" t="str">
        <f>"MC0266"</f>
        <v>MC0266</v>
      </c>
      <c r="C4424" t="s">
        <v>4331</v>
      </c>
    </row>
    <row r="4425" spans="1:3" x14ac:dyDescent="0.25">
      <c r="A4425" t="str">
        <f>"0611906738025"</f>
        <v>0611906738025</v>
      </c>
      <c r="B4425" t="str">
        <f>"MQ7586"</f>
        <v>MQ7586</v>
      </c>
      <c r="C4425" t="s">
        <v>4332</v>
      </c>
    </row>
    <row r="4426" spans="1:3" x14ac:dyDescent="0.25">
      <c r="A4426" t="str">
        <f>"0611834058025"</f>
        <v>0611834058025</v>
      </c>
      <c r="B4426" t="str">
        <f>"MQ0550"</f>
        <v>MQ0550</v>
      </c>
      <c r="C4426" t="s">
        <v>4333</v>
      </c>
    </row>
    <row r="4427" spans="1:3" x14ac:dyDescent="0.25">
      <c r="A4427" t="str">
        <f>"0611834059025"</f>
        <v>0611834059025</v>
      </c>
      <c r="B4427" t="str">
        <f>"MC2400"</f>
        <v>MC2400</v>
      </c>
      <c r="C4427" t="s">
        <v>4334</v>
      </c>
    </row>
    <row r="4428" spans="1:3" x14ac:dyDescent="0.25">
      <c r="A4428" t="str">
        <f>"0611834060025"</f>
        <v>0611834060025</v>
      </c>
      <c r="B4428" t="str">
        <f>"MC2401"</f>
        <v>MC2401</v>
      </c>
      <c r="C4428" t="s">
        <v>4335</v>
      </c>
    </row>
    <row r="4429" spans="1:3" x14ac:dyDescent="0.25">
      <c r="A4429" t="str">
        <f>"0611834061025"</f>
        <v>0611834061025</v>
      </c>
      <c r="B4429" t="str">
        <f>"MC3389"</f>
        <v>MC3389</v>
      </c>
      <c r="C4429" t="s">
        <v>4336</v>
      </c>
    </row>
    <row r="4430" spans="1:3" x14ac:dyDescent="0.25">
      <c r="A4430" t="str">
        <f>"0611834062025"</f>
        <v>0611834062025</v>
      </c>
      <c r="B4430" t="str">
        <f>"MC2402"</f>
        <v>MC2402</v>
      </c>
      <c r="C4430" t="s">
        <v>4337</v>
      </c>
    </row>
    <row r="4431" spans="1:3" x14ac:dyDescent="0.25">
      <c r="A4431" t="str">
        <f>"0611834063025"</f>
        <v>0611834063025</v>
      </c>
      <c r="B4431" t="str">
        <f>"MC2403"</f>
        <v>MC2403</v>
      </c>
      <c r="C4431" t="s">
        <v>4338</v>
      </c>
    </row>
    <row r="4432" spans="1:3" x14ac:dyDescent="0.25">
      <c r="A4432" t="str">
        <f>"0611834064025"</f>
        <v>0611834064025</v>
      </c>
      <c r="B4432" t="str">
        <f>"MC3019"</f>
        <v>MC3019</v>
      </c>
      <c r="C4432" t="s">
        <v>4339</v>
      </c>
    </row>
    <row r="4433" spans="1:3" x14ac:dyDescent="0.25">
      <c r="A4433" t="str">
        <f>"0611834065025"</f>
        <v>0611834065025</v>
      </c>
      <c r="B4433" t="str">
        <f>"MC3649"</f>
        <v>MC3649</v>
      </c>
      <c r="C4433" t="s">
        <v>4340</v>
      </c>
    </row>
    <row r="4434" spans="1:3" x14ac:dyDescent="0.25">
      <c r="A4434" t="str">
        <f>"0611834066100"</f>
        <v>0611834066100</v>
      </c>
      <c r="B4434" t="str">
        <f>"LH8915"</f>
        <v>LH8915</v>
      </c>
      <c r="C4434" t="s">
        <v>4341</v>
      </c>
    </row>
    <row r="4435" spans="1:3" x14ac:dyDescent="0.25">
      <c r="A4435" t="str">
        <f>"0611834067025"</f>
        <v>0611834067025</v>
      </c>
      <c r="B4435" t="str">
        <f>"MC4164"</f>
        <v>MC4164</v>
      </c>
      <c r="C4435" t="s">
        <v>4342</v>
      </c>
    </row>
    <row r="4436" spans="1:3" x14ac:dyDescent="0.25">
      <c r="A4436" t="str">
        <f>"0611834068025"</f>
        <v>0611834068025</v>
      </c>
      <c r="B4436" t="str">
        <f>"MC3650"</f>
        <v>MC3650</v>
      </c>
      <c r="C4436" t="s">
        <v>4343</v>
      </c>
    </row>
    <row r="4437" spans="1:3" x14ac:dyDescent="0.25">
      <c r="A4437" t="str">
        <f>"0611834069025"</f>
        <v>0611834069025</v>
      </c>
      <c r="B4437" t="str">
        <f>"MC3651"</f>
        <v>MC3651</v>
      </c>
      <c r="C4437" t="s">
        <v>4344</v>
      </c>
    </row>
    <row r="4438" spans="1:3" x14ac:dyDescent="0.25">
      <c r="A4438" t="str">
        <f>"0611834070025"</f>
        <v>0611834070025</v>
      </c>
      <c r="B4438" t="str">
        <f>"MC3652"</f>
        <v>MC3652</v>
      </c>
      <c r="C4438" t="s">
        <v>4345</v>
      </c>
    </row>
    <row r="4439" spans="1:3" x14ac:dyDescent="0.25">
      <c r="A4439" t="str">
        <f>"0611834071025"</f>
        <v>0611834071025</v>
      </c>
      <c r="B4439" t="str">
        <f>"MC3653"</f>
        <v>MC3653</v>
      </c>
      <c r="C4439" t="s">
        <v>4346</v>
      </c>
    </row>
    <row r="4440" spans="1:3" x14ac:dyDescent="0.25">
      <c r="A4440" t="str">
        <f>"0611834072025"</f>
        <v>0611834072025</v>
      </c>
      <c r="B4440" t="str">
        <f>"MQ0186"</f>
        <v>MQ0186</v>
      </c>
      <c r="C4440" t="s">
        <v>4347</v>
      </c>
    </row>
    <row r="4441" spans="1:3" x14ac:dyDescent="0.25">
      <c r="A4441" t="str">
        <f>"0611834074025"</f>
        <v>0611834074025</v>
      </c>
      <c r="B4441" t="str">
        <f>"MC0267"</f>
        <v>MC0267</v>
      </c>
      <c r="C4441" t="s">
        <v>4348</v>
      </c>
    </row>
    <row r="4442" spans="1:3" x14ac:dyDescent="0.25">
      <c r="A4442" t="str">
        <f>"0611834075100"</f>
        <v>0611834075100</v>
      </c>
      <c r="B4442" t="str">
        <f>"LH3525"</f>
        <v>LH3525</v>
      </c>
      <c r="C4442" t="s">
        <v>4349</v>
      </c>
    </row>
    <row r="4443" spans="1:3" x14ac:dyDescent="0.25">
      <c r="A4443" t="str">
        <f>"0611834076025"</f>
        <v>0611834076025</v>
      </c>
      <c r="B4443" t="str">
        <f>"MC0269"</f>
        <v>MC0269</v>
      </c>
      <c r="C4443" t="s">
        <v>4350</v>
      </c>
    </row>
    <row r="4444" spans="1:3" x14ac:dyDescent="0.25">
      <c r="A4444" t="str">
        <f>"0611834077025"</f>
        <v>0611834077025</v>
      </c>
      <c r="B4444" t="str">
        <f>"MQ3132"</f>
        <v>MQ3132</v>
      </c>
      <c r="C4444" t="s">
        <v>4351</v>
      </c>
    </row>
    <row r="4445" spans="1:3" x14ac:dyDescent="0.25">
      <c r="A4445" t="str">
        <f>"0611834078025"</f>
        <v>0611834078025</v>
      </c>
      <c r="B4445" t="str">
        <f>"MQ3133"</f>
        <v>MQ3133</v>
      </c>
      <c r="C4445" t="s">
        <v>4352</v>
      </c>
    </row>
    <row r="4446" spans="1:3" x14ac:dyDescent="0.25">
      <c r="A4446" t="str">
        <f>"0611834080100"</f>
        <v>0611834080100</v>
      </c>
      <c r="B4446" t="str">
        <f>"LB0390"</f>
        <v>LB0390</v>
      </c>
      <c r="C4446" t="s">
        <v>4353</v>
      </c>
    </row>
    <row r="4447" spans="1:3" x14ac:dyDescent="0.25">
      <c r="A4447" t="str">
        <f>"0611834081100"</f>
        <v>0611834081100</v>
      </c>
      <c r="B4447" t="str">
        <f>"LH3527"</f>
        <v>LH3527</v>
      </c>
      <c r="C4447" t="s">
        <v>4354</v>
      </c>
    </row>
    <row r="4448" spans="1:3" x14ac:dyDescent="0.25">
      <c r="A4448" t="str">
        <f>"0611834082025"</f>
        <v>0611834082025</v>
      </c>
      <c r="B4448" t="str">
        <f>"MC0268"</f>
        <v>MC0268</v>
      </c>
      <c r="C4448" t="s">
        <v>4355</v>
      </c>
    </row>
    <row r="4449" spans="1:3" x14ac:dyDescent="0.25">
      <c r="A4449" t="str">
        <f>"0611834083025"</f>
        <v>0611834083025</v>
      </c>
      <c r="B4449" t="str">
        <f>"MC4336"</f>
        <v>MC4336</v>
      </c>
      <c r="C4449" t="s">
        <v>4356</v>
      </c>
    </row>
    <row r="4450" spans="1:3" x14ac:dyDescent="0.25">
      <c r="A4450" t="str">
        <f>"0611834084025"</f>
        <v>0611834084025</v>
      </c>
      <c r="B4450" t="str">
        <f>"MC0272"</f>
        <v>MC0272</v>
      </c>
      <c r="C4450" t="s">
        <v>4357</v>
      </c>
    </row>
    <row r="4451" spans="1:3" x14ac:dyDescent="0.25">
      <c r="A4451" t="str">
        <f>"0611834085025"</f>
        <v>0611834085025</v>
      </c>
      <c r="B4451" t="str">
        <f>"MC3719"</f>
        <v>MC3719</v>
      </c>
      <c r="C4451" t="s">
        <v>4358</v>
      </c>
    </row>
    <row r="4452" spans="1:3" x14ac:dyDescent="0.25">
      <c r="A4452" t="str">
        <f>"0611830719100"</f>
        <v>0611830719100</v>
      </c>
      <c r="B4452" t="str">
        <f>"LC6002"</f>
        <v>LC6002</v>
      </c>
      <c r="C4452" t="s">
        <v>4359</v>
      </c>
    </row>
    <row r="4453" spans="1:3" x14ac:dyDescent="0.25">
      <c r="A4453" t="str">
        <f>"0611884188025"</f>
        <v>0611884188025</v>
      </c>
      <c r="B4453" t="str">
        <f>"MC4473"</f>
        <v>MC4473</v>
      </c>
      <c r="C4453" t="s">
        <v>4360</v>
      </c>
    </row>
    <row r="4454" spans="1:3" x14ac:dyDescent="0.25">
      <c r="A4454" t="str">
        <f>"0611830723100"</f>
        <v>0611830723100</v>
      </c>
      <c r="B4454" t="str">
        <f>"LC6003"</f>
        <v>LC6003</v>
      </c>
      <c r="C4454" t="s">
        <v>4361</v>
      </c>
    </row>
    <row r="4455" spans="1:3" x14ac:dyDescent="0.25">
      <c r="A4455" t="str">
        <f>"0611830724100"</f>
        <v>0611830724100</v>
      </c>
      <c r="B4455" t="str">
        <f>"LC6001"</f>
        <v>LC6001</v>
      </c>
      <c r="C4455" t="s">
        <v>4362</v>
      </c>
    </row>
    <row r="4456" spans="1:3" x14ac:dyDescent="0.25">
      <c r="A4456" t="str">
        <f>"0611830725025"</f>
        <v>0611830725025</v>
      </c>
      <c r="B4456" t="str">
        <f>"MC0954"</f>
        <v>MC0954</v>
      </c>
      <c r="C4456" t="s">
        <v>4363</v>
      </c>
    </row>
    <row r="4457" spans="1:3" x14ac:dyDescent="0.25">
      <c r="A4457" t="str">
        <f>"0611830720100"</f>
        <v>0611830720100</v>
      </c>
      <c r="B4457" t="str">
        <f>"LC6000"</f>
        <v>LC6000</v>
      </c>
      <c r="C4457" t="s">
        <v>4364</v>
      </c>
    </row>
    <row r="4458" spans="1:3" x14ac:dyDescent="0.25">
      <c r="A4458" t="str">
        <f>"0611830721200"</f>
        <v>0611830721200</v>
      </c>
      <c r="B4458" t="str">
        <f>"KP6000"</f>
        <v>KP6000</v>
      </c>
      <c r="C4458" t="s">
        <v>4365</v>
      </c>
    </row>
    <row r="4459" spans="1:3" x14ac:dyDescent="0.25">
      <c r="A4459" t="str">
        <f>"0611830722025"</f>
        <v>0611830722025</v>
      </c>
      <c r="B4459" t="str">
        <f>"MC0788"</f>
        <v>MC0788</v>
      </c>
      <c r="C4459" t="s">
        <v>4366</v>
      </c>
    </row>
    <row r="4460" spans="1:3" x14ac:dyDescent="0.25">
      <c r="A4460" t="str">
        <f>"0611884189050"</f>
        <v>0611884189050</v>
      </c>
      <c r="B4460" t="str">
        <f>"CR5427"</f>
        <v>CR5427</v>
      </c>
      <c r="C4460" t="s">
        <v>4367</v>
      </c>
    </row>
    <row r="4461" spans="1:3" x14ac:dyDescent="0.25">
      <c r="A4461" t="str">
        <f>"0611884190050"</f>
        <v>0611884190050</v>
      </c>
      <c r="B4461" t="str">
        <f>"CR5428"</f>
        <v>CR5428</v>
      </c>
      <c r="C4461" t="s">
        <v>4368</v>
      </c>
    </row>
    <row r="4462" spans="1:3" x14ac:dyDescent="0.25">
      <c r="A4462" t="str">
        <f>"0611884191050"</f>
        <v>0611884191050</v>
      </c>
      <c r="B4462" t="str">
        <f>"CR5425"</f>
        <v>CR5425</v>
      </c>
      <c r="C4462" t="s">
        <v>4369</v>
      </c>
    </row>
    <row r="4463" spans="1:3" x14ac:dyDescent="0.25">
      <c r="A4463" t="str">
        <f>"0611884192050"</f>
        <v>0611884192050</v>
      </c>
      <c r="B4463" t="str">
        <f>"CR5426"</f>
        <v>CR5426</v>
      </c>
      <c r="C4463" t="s">
        <v>4370</v>
      </c>
    </row>
    <row r="4464" spans="1:3" x14ac:dyDescent="0.25">
      <c r="A4464" t="str">
        <f>"0611884193050"</f>
        <v>0611884193050</v>
      </c>
      <c r="B4464" t="str">
        <f>"CR5429"</f>
        <v>CR5429</v>
      </c>
      <c r="C4464" t="s">
        <v>4371</v>
      </c>
    </row>
    <row r="4465" spans="1:3" x14ac:dyDescent="0.25">
      <c r="A4465" t="str">
        <f>"0611834087100"</f>
        <v>0611834087100</v>
      </c>
      <c r="B4465" t="str">
        <f>"LG2000"</f>
        <v>LG2000</v>
      </c>
      <c r="C4465" t="s">
        <v>4372</v>
      </c>
    </row>
    <row r="4466" spans="1:3" x14ac:dyDescent="0.25">
      <c r="A4466" t="str">
        <f>"0611861858050"</f>
        <v>0611861858050</v>
      </c>
      <c r="B4466" t="str">
        <f>"CE1631"</f>
        <v>CE1631</v>
      </c>
      <c r="C4466" t="s">
        <v>4373</v>
      </c>
    </row>
    <row r="4467" spans="1:3" x14ac:dyDescent="0.25">
      <c r="A4467" t="str">
        <f>"0611861859050"</f>
        <v>0611861859050</v>
      </c>
      <c r="B4467" t="str">
        <f>"CE0423"</f>
        <v>CE0423</v>
      </c>
      <c r="C4467" t="s">
        <v>4374</v>
      </c>
    </row>
    <row r="4468" spans="1:3" x14ac:dyDescent="0.25">
      <c r="A4468" t="str">
        <f>"0611861860050"</f>
        <v>0611861860050</v>
      </c>
      <c r="B4468" t="str">
        <f>"CE0422"</f>
        <v>CE0422</v>
      </c>
      <c r="C4468" t="s">
        <v>4375</v>
      </c>
    </row>
    <row r="4469" spans="1:3" x14ac:dyDescent="0.25">
      <c r="A4469" t="str">
        <f>"0611861861050"</f>
        <v>0611861861050</v>
      </c>
      <c r="B4469" t="str">
        <f>"CE1468"</f>
        <v>CE1468</v>
      </c>
      <c r="C4469" t="s">
        <v>13834</v>
      </c>
    </row>
    <row r="4470" spans="1:3" x14ac:dyDescent="0.25">
      <c r="A4470" t="str">
        <f>"0611861862050"</f>
        <v>0611861862050</v>
      </c>
      <c r="B4470" t="str">
        <f>"CE1634"</f>
        <v>CE1634</v>
      </c>
      <c r="C4470" t="s">
        <v>4376</v>
      </c>
    </row>
    <row r="4471" spans="1:3" x14ac:dyDescent="0.25">
      <c r="A4471" t="str">
        <f>"0611861863050"</f>
        <v>0611861863050</v>
      </c>
      <c r="B4471" t="str">
        <f>"CE1323"</f>
        <v>CE1323</v>
      </c>
      <c r="C4471" t="s">
        <v>4377</v>
      </c>
    </row>
    <row r="4472" spans="1:3" x14ac:dyDescent="0.25">
      <c r="A4472" t="str">
        <f>"0611861864050"</f>
        <v>0611861864050</v>
      </c>
      <c r="B4472" t="str">
        <f>"CE1430"</f>
        <v>CE1430</v>
      </c>
      <c r="C4472" t="s">
        <v>13835</v>
      </c>
    </row>
    <row r="4473" spans="1:3" x14ac:dyDescent="0.25">
      <c r="A4473" t="str">
        <f>"0611861865050"</f>
        <v>0611861865050</v>
      </c>
      <c r="B4473" t="str">
        <f>"CE1324"</f>
        <v>CE1324</v>
      </c>
      <c r="C4473" t="s">
        <v>4378</v>
      </c>
    </row>
    <row r="4474" spans="1:3" x14ac:dyDescent="0.25">
      <c r="A4474" t="str">
        <f>"0611861866050"</f>
        <v>0611861866050</v>
      </c>
      <c r="B4474" t="str">
        <f>"CE0424"</f>
        <v>CE0424</v>
      </c>
      <c r="C4474" t="s">
        <v>4379</v>
      </c>
    </row>
    <row r="4475" spans="1:3" x14ac:dyDescent="0.25">
      <c r="A4475" t="str">
        <f>"0611861867050"</f>
        <v>0611861867050</v>
      </c>
      <c r="B4475" t="str">
        <f>"CE1422"</f>
        <v>CE1422</v>
      </c>
      <c r="C4475" t="s">
        <v>13836</v>
      </c>
    </row>
    <row r="4476" spans="1:3" x14ac:dyDescent="0.25">
      <c r="A4476" t="str">
        <f>"0611861869050"</f>
        <v>0611861869050</v>
      </c>
      <c r="B4476" t="str">
        <f>"CE0425"</f>
        <v>CE0425</v>
      </c>
      <c r="C4476" t="s">
        <v>13837</v>
      </c>
    </row>
    <row r="4477" spans="1:3" x14ac:dyDescent="0.25">
      <c r="A4477" t="str">
        <f>"0611861868050"</f>
        <v>0611861868050</v>
      </c>
      <c r="B4477" t="str">
        <f>"CE1423"</f>
        <v>CE1423</v>
      </c>
      <c r="C4477" t="s">
        <v>4380</v>
      </c>
    </row>
    <row r="4478" spans="1:3" x14ac:dyDescent="0.25">
      <c r="A4478" t="str">
        <f>"0611861870050"</f>
        <v>0611861870050</v>
      </c>
      <c r="B4478" t="str">
        <f>"CE1633"</f>
        <v>CE1633</v>
      </c>
      <c r="C4478" t="s">
        <v>4381</v>
      </c>
    </row>
    <row r="4479" spans="1:3" x14ac:dyDescent="0.25">
      <c r="A4479" t="str">
        <f>"0611861871050"</f>
        <v>0611861871050</v>
      </c>
      <c r="B4479" t="str">
        <f>"CE1632"</f>
        <v>CE1632</v>
      </c>
      <c r="C4479" t="s">
        <v>4382</v>
      </c>
    </row>
    <row r="4480" spans="1:3" x14ac:dyDescent="0.25">
      <c r="A4480" t="str">
        <f>"0611861872050"</f>
        <v>0611861872050</v>
      </c>
      <c r="B4480" t="str">
        <f>"CE1658"</f>
        <v>CE1658</v>
      </c>
      <c r="C4480" t="s">
        <v>4383</v>
      </c>
    </row>
    <row r="4481" spans="1:3" x14ac:dyDescent="0.25">
      <c r="A4481" t="str">
        <f>"0611834088100"</f>
        <v>0611834088100</v>
      </c>
      <c r="B4481" t="str">
        <f>"LF1835"</f>
        <v>LF1835</v>
      </c>
      <c r="C4481" t="s">
        <v>4384</v>
      </c>
    </row>
    <row r="4482" spans="1:3" x14ac:dyDescent="0.25">
      <c r="A4482" t="str">
        <f>"0611861873050"</f>
        <v>0611861873050</v>
      </c>
      <c r="B4482" t="str">
        <f>"CE0426"</f>
        <v>CE0426</v>
      </c>
      <c r="C4482" t="s">
        <v>4387</v>
      </c>
    </row>
    <row r="4483" spans="1:3" x14ac:dyDescent="0.25">
      <c r="A4483" t="str">
        <f>"0611834090100"</f>
        <v>0611834090100</v>
      </c>
      <c r="B4483" t="str">
        <f>"LH8911"</f>
        <v>LH8911</v>
      </c>
      <c r="C4483" t="s">
        <v>4385</v>
      </c>
    </row>
    <row r="4484" spans="1:3" x14ac:dyDescent="0.25">
      <c r="A4484" t="str">
        <f>"0611834091025"</f>
        <v>0611834091025</v>
      </c>
      <c r="B4484" t="str">
        <f>"MC0851"</f>
        <v>MC0851</v>
      </c>
      <c r="C4484" t="s">
        <v>4386</v>
      </c>
    </row>
    <row r="4485" spans="1:3" x14ac:dyDescent="0.25">
      <c r="A4485" t="str">
        <f>"0611834092100"</f>
        <v>0611834092100</v>
      </c>
      <c r="B4485" t="str">
        <f>"LF2002"</f>
        <v>LF2002</v>
      </c>
      <c r="C4485" t="s">
        <v>4388</v>
      </c>
    </row>
    <row r="4486" spans="1:3" x14ac:dyDescent="0.25">
      <c r="A4486" t="str">
        <f>"0611834099025"</f>
        <v>0611834099025</v>
      </c>
      <c r="B4486" t="str">
        <f>"MC2205"</f>
        <v>MC2205</v>
      </c>
      <c r="C4486" t="s">
        <v>4389</v>
      </c>
    </row>
    <row r="4487" spans="1:3" x14ac:dyDescent="0.25">
      <c r="A4487" t="str">
        <f>"0611834095100"</f>
        <v>0611834095100</v>
      </c>
      <c r="B4487" t="str">
        <f>"LF2016"</f>
        <v>LF2016</v>
      </c>
      <c r="C4487" t="s">
        <v>4390</v>
      </c>
    </row>
    <row r="4488" spans="1:3" x14ac:dyDescent="0.25">
      <c r="A4488" t="str">
        <f>"0611834093100"</f>
        <v>0611834093100</v>
      </c>
      <c r="B4488" t="str">
        <f>"LF2019"</f>
        <v>LF2019</v>
      </c>
      <c r="C4488" t="s">
        <v>4391</v>
      </c>
    </row>
    <row r="4489" spans="1:3" x14ac:dyDescent="0.25">
      <c r="A4489" t="str">
        <f>"0611834094025"</f>
        <v>0611834094025</v>
      </c>
      <c r="B4489" t="str">
        <f>"MC2207"</f>
        <v>MC2207</v>
      </c>
      <c r="C4489" t="s">
        <v>4392</v>
      </c>
    </row>
    <row r="4490" spans="1:3" x14ac:dyDescent="0.25">
      <c r="A4490" t="str">
        <f>"0611834096100"</f>
        <v>0611834096100</v>
      </c>
      <c r="B4490" t="str">
        <f>"LF2012"</f>
        <v>LF2012</v>
      </c>
      <c r="C4490" t="s">
        <v>4393</v>
      </c>
    </row>
    <row r="4491" spans="1:3" x14ac:dyDescent="0.25">
      <c r="A4491" t="str">
        <f>"0611834098100"</f>
        <v>0611834098100</v>
      </c>
      <c r="B4491" t="str">
        <f>"LS0118"</f>
        <v>LS0118</v>
      </c>
      <c r="C4491" t="s">
        <v>4395</v>
      </c>
    </row>
    <row r="4492" spans="1:3" x14ac:dyDescent="0.25">
      <c r="A4492" t="str">
        <f>"0611834097100"</f>
        <v>0611834097100</v>
      </c>
      <c r="B4492" t="str">
        <f>"LK5652"</f>
        <v>LK5652</v>
      </c>
      <c r="C4492" t="s">
        <v>4394</v>
      </c>
    </row>
    <row r="4493" spans="1:3" x14ac:dyDescent="0.25">
      <c r="A4493" t="str">
        <f>"0611834100100"</f>
        <v>0611834100100</v>
      </c>
      <c r="B4493" t="str">
        <f>"LF2000"</f>
        <v>LF2000</v>
      </c>
      <c r="C4493" t="s">
        <v>4396</v>
      </c>
    </row>
    <row r="4494" spans="1:3" x14ac:dyDescent="0.25">
      <c r="A4494" t="str">
        <f>"0611834103100"</f>
        <v>0611834103100</v>
      </c>
      <c r="B4494" t="str">
        <f>"LK4470"</f>
        <v>LK4470</v>
      </c>
      <c r="C4494" t="s">
        <v>4397</v>
      </c>
    </row>
    <row r="4495" spans="1:3" x14ac:dyDescent="0.25">
      <c r="A4495" t="str">
        <f>"0611861874050"</f>
        <v>0611861874050</v>
      </c>
      <c r="B4495" t="str">
        <f>"CR2943"</f>
        <v>CR2943</v>
      </c>
      <c r="C4495" t="s">
        <v>4398</v>
      </c>
    </row>
    <row r="4496" spans="1:3" x14ac:dyDescent="0.25">
      <c r="A4496" t="str">
        <f>"0611834104100"</f>
        <v>0611834104100</v>
      </c>
      <c r="B4496" t="str">
        <f>"LK4294"</f>
        <v>LK4294</v>
      </c>
      <c r="C4496" t="s">
        <v>4399</v>
      </c>
    </row>
    <row r="4497" spans="1:3" x14ac:dyDescent="0.25">
      <c r="A4497" t="str">
        <f>"0611861875100"</f>
        <v>0611861875100</v>
      </c>
      <c r="B4497" t="str">
        <f>"CN2031"</f>
        <v>CN2031</v>
      </c>
      <c r="C4497" t="s">
        <v>4400</v>
      </c>
    </row>
    <row r="4498" spans="1:3" x14ac:dyDescent="0.25">
      <c r="A4498" t="str">
        <f>"0611861876100"</f>
        <v>0611861876100</v>
      </c>
      <c r="B4498" t="str">
        <f>"CN2032"</f>
        <v>CN2032</v>
      </c>
      <c r="C4498" t="s">
        <v>4401</v>
      </c>
    </row>
    <row r="4499" spans="1:3" x14ac:dyDescent="0.25">
      <c r="A4499" t="str">
        <f>"0611861877100"</f>
        <v>0611861877100</v>
      </c>
      <c r="B4499" t="str">
        <f>"CN2034"</f>
        <v>CN2034</v>
      </c>
      <c r="C4499" t="s">
        <v>4402</v>
      </c>
    </row>
    <row r="4500" spans="1:3" x14ac:dyDescent="0.25">
      <c r="A4500" t="str">
        <f>"0611861878100"</f>
        <v>0611861878100</v>
      </c>
      <c r="B4500" t="str">
        <f>"CN2276"</f>
        <v>CN2276</v>
      </c>
      <c r="C4500" t="s">
        <v>4403</v>
      </c>
    </row>
    <row r="4501" spans="1:3" x14ac:dyDescent="0.25">
      <c r="A4501" t="str">
        <f>"0611861879100"</f>
        <v>0611861879100</v>
      </c>
      <c r="B4501" t="str">
        <f>"CN2039"</f>
        <v>CN2039</v>
      </c>
      <c r="C4501" t="s">
        <v>4404</v>
      </c>
    </row>
    <row r="4502" spans="1:3" x14ac:dyDescent="0.25">
      <c r="A4502" t="str">
        <f>"0611906564100"</f>
        <v>0611906564100</v>
      </c>
      <c r="B4502" t="str">
        <f>"CN2406"</f>
        <v>CN2406</v>
      </c>
      <c r="C4502" t="s">
        <v>4405</v>
      </c>
    </row>
    <row r="4503" spans="1:3" x14ac:dyDescent="0.25">
      <c r="A4503" t="str">
        <f>"0611893594100"</f>
        <v>0611893594100</v>
      </c>
      <c r="B4503" t="str">
        <f>"CN2407"</f>
        <v>CN2407</v>
      </c>
      <c r="C4503" t="s">
        <v>4406</v>
      </c>
    </row>
    <row r="4504" spans="1:3" x14ac:dyDescent="0.25">
      <c r="A4504" t="str">
        <f>"0611861880100"</f>
        <v>0611861880100</v>
      </c>
      <c r="B4504" t="str">
        <f>"CN2040"</f>
        <v>CN2040</v>
      </c>
      <c r="C4504" t="s">
        <v>4407</v>
      </c>
    </row>
    <row r="4505" spans="1:3" x14ac:dyDescent="0.25">
      <c r="A4505" t="str">
        <f>"0611861881100"</f>
        <v>0611861881100</v>
      </c>
      <c r="B4505" t="str">
        <f>"CN2041"</f>
        <v>CN2041</v>
      </c>
      <c r="C4505" t="s">
        <v>4408</v>
      </c>
    </row>
    <row r="4506" spans="1:3" x14ac:dyDescent="0.25">
      <c r="A4506" t="str">
        <f>"0611834106100"</f>
        <v>0611834106100</v>
      </c>
      <c r="B4506" t="str">
        <f>"LG8031"</f>
        <v>LG8031</v>
      </c>
      <c r="C4506" t="s">
        <v>4409</v>
      </c>
    </row>
    <row r="4507" spans="1:3" x14ac:dyDescent="0.25">
      <c r="A4507" t="str">
        <f>"0611861882100"</f>
        <v>0611861882100</v>
      </c>
      <c r="B4507" t="str">
        <f>"CN2042"</f>
        <v>CN2042</v>
      </c>
      <c r="C4507" t="s">
        <v>4410</v>
      </c>
    </row>
    <row r="4508" spans="1:3" x14ac:dyDescent="0.25">
      <c r="A4508" t="str">
        <f>"0611834107100"</f>
        <v>0611834107100</v>
      </c>
      <c r="B4508" t="str">
        <f>"LG8033"</f>
        <v>LG8033</v>
      </c>
      <c r="C4508" t="s">
        <v>4411</v>
      </c>
    </row>
    <row r="4509" spans="1:3" x14ac:dyDescent="0.25">
      <c r="A4509" t="str">
        <f>"0611861883100"</f>
        <v>0611861883100</v>
      </c>
      <c r="B4509" t="str">
        <f>"CN2043"</f>
        <v>CN2043</v>
      </c>
      <c r="C4509" t="s">
        <v>4412</v>
      </c>
    </row>
    <row r="4510" spans="1:3" x14ac:dyDescent="0.25">
      <c r="A4510" t="str">
        <f>"0611861884100"</f>
        <v>0611861884100</v>
      </c>
      <c r="B4510" t="str">
        <f>"CN2044"</f>
        <v>CN2044</v>
      </c>
      <c r="C4510" t="s">
        <v>4413</v>
      </c>
    </row>
    <row r="4511" spans="1:3" x14ac:dyDescent="0.25">
      <c r="A4511" t="str">
        <f>"0611861885100"</f>
        <v>0611861885100</v>
      </c>
      <c r="B4511" t="str">
        <f>"CN2045"</f>
        <v>CN2045</v>
      </c>
      <c r="C4511" t="s">
        <v>4414</v>
      </c>
    </row>
    <row r="4512" spans="1:3" x14ac:dyDescent="0.25">
      <c r="A4512" t="str">
        <f>"0611861886100"</f>
        <v>0611861886100</v>
      </c>
      <c r="B4512" t="str">
        <f>"CN2046"</f>
        <v>CN2046</v>
      </c>
      <c r="C4512" t="s">
        <v>4415</v>
      </c>
    </row>
    <row r="4513" spans="1:3" x14ac:dyDescent="0.25">
      <c r="A4513" t="str">
        <f>"0611884194100"</f>
        <v>0611884194100</v>
      </c>
      <c r="B4513" t="str">
        <f>"LF8533"</f>
        <v>LF8533</v>
      </c>
      <c r="C4513" t="s">
        <v>4416</v>
      </c>
    </row>
    <row r="4514" spans="1:3" x14ac:dyDescent="0.25">
      <c r="A4514" t="str">
        <f>"0611861887100"</f>
        <v>0611861887100</v>
      </c>
      <c r="B4514" t="str">
        <f>"CN2047"</f>
        <v>CN2047</v>
      </c>
      <c r="C4514" t="s">
        <v>4417</v>
      </c>
    </row>
    <row r="4515" spans="1:3" x14ac:dyDescent="0.25">
      <c r="A4515" t="str">
        <f>"0611861888100"</f>
        <v>0611861888100</v>
      </c>
      <c r="B4515" t="str">
        <f>"CN2048"</f>
        <v>CN2048</v>
      </c>
      <c r="C4515" t="s">
        <v>4418</v>
      </c>
    </row>
    <row r="4516" spans="1:3" x14ac:dyDescent="0.25">
      <c r="A4516" t="str">
        <f>"0611861889100"</f>
        <v>0611861889100</v>
      </c>
      <c r="B4516" t="str">
        <f>"CN2049"</f>
        <v>CN2049</v>
      </c>
      <c r="C4516" t="s">
        <v>4419</v>
      </c>
    </row>
    <row r="4517" spans="1:3" x14ac:dyDescent="0.25">
      <c r="A4517" t="str">
        <f>"0611861890100"</f>
        <v>0611861890100</v>
      </c>
      <c r="B4517" t="str">
        <f>"CN2270"</f>
        <v>CN2270</v>
      </c>
      <c r="C4517" t="s">
        <v>4420</v>
      </c>
    </row>
    <row r="4518" spans="1:3" x14ac:dyDescent="0.25">
      <c r="A4518" t="str">
        <f>"0611861891100"</f>
        <v>0611861891100</v>
      </c>
      <c r="B4518" t="str">
        <f>"CN2051"</f>
        <v>CN2051</v>
      </c>
      <c r="C4518" t="s">
        <v>4421</v>
      </c>
    </row>
    <row r="4519" spans="1:3" x14ac:dyDescent="0.25">
      <c r="A4519" t="str">
        <f>"0611861892100"</f>
        <v>0611861892100</v>
      </c>
      <c r="B4519" t="str">
        <f>"CN2035"</f>
        <v>CN2035</v>
      </c>
      <c r="C4519" t="s">
        <v>4422</v>
      </c>
    </row>
    <row r="4520" spans="1:3" x14ac:dyDescent="0.25">
      <c r="A4520" t="str">
        <f>"0611861893100"</f>
        <v>0611861893100</v>
      </c>
      <c r="B4520" t="str">
        <f>"CN2052"</f>
        <v>CN2052</v>
      </c>
      <c r="C4520" t="s">
        <v>4423</v>
      </c>
    </row>
    <row r="4521" spans="1:3" x14ac:dyDescent="0.25">
      <c r="A4521" t="str">
        <f>"0611861894100"</f>
        <v>0611861894100</v>
      </c>
      <c r="B4521" t="str">
        <f>"CN2053"</f>
        <v>CN2053</v>
      </c>
      <c r="C4521" t="s">
        <v>4424</v>
      </c>
    </row>
    <row r="4522" spans="1:3" x14ac:dyDescent="0.25">
      <c r="A4522" t="str">
        <f>"0611861895100"</f>
        <v>0611861895100</v>
      </c>
      <c r="B4522" t="str">
        <f>"CN2054"</f>
        <v>CN2054</v>
      </c>
      <c r="C4522" t="s">
        <v>4425</v>
      </c>
    </row>
    <row r="4523" spans="1:3" x14ac:dyDescent="0.25">
      <c r="A4523" t="str">
        <f>"0611861896100"</f>
        <v>0611861896100</v>
      </c>
      <c r="B4523" t="str">
        <f>"CN2057"</f>
        <v>CN2057</v>
      </c>
      <c r="C4523" t="s">
        <v>4426</v>
      </c>
    </row>
    <row r="4524" spans="1:3" x14ac:dyDescent="0.25">
      <c r="A4524" t="str">
        <f>"0611861897100"</f>
        <v>0611861897100</v>
      </c>
      <c r="B4524" t="str">
        <f>"CN2058"</f>
        <v>CN2058</v>
      </c>
      <c r="C4524" t="s">
        <v>4427</v>
      </c>
    </row>
    <row r="4525" spans="1:3" x14ac:dyDescent="0.25">
      <c r="A4525" t="str">
        <f>"0611861898100"</f>
        <v>0611861898100</v>
      </c>
      <c r="B4525" t="str">
        <f>"CN2275"</f>
        <v>CN2275</v>
      </c>
      <c r="C4525" t="s">
        <v>4428</v>
      </c>
    </row>
    <row r="4526" spans="1:3" x14ac:dyDescent="0.25">
      <c r="A4526" t="str">
        <f>"0611834108100"</f>
        <v>0611834108100</v>
      </c>
      <c r="B4526" t="str">
        <f>"LG8036"</f>
        <v>LG8036</v>
      </c>
      <c r="C4526" t="s">
        <v>4429</v>
      </c>
    </row>
    <row r="4527" spans="1:3" x14ac:dyDescent="0.25">
      <c r="A4527" t="str">
        <f>"0611861899100"</f>
        <v>0611861899100</v>
      </c>
      <c r="B4527" t="str">
        <f>"CN2059"</f>
        <v>CN2059</v>
      </c>
      <c r="C4527" t="s">
        <v>4430</v>
      </c>
    </row>
    <row r="4528" spans="1:3" x14ac:dyDescent="0.25">
      <c r="A4528" t="str">
        <f>"0611861900100"</f>
        <v>0611861900100</v>
      </c>
      <c r="B4528" t="str">
        <f>"CN2036"</f>
        <v>CN2036</v>
      </c>
      <c r="C4528" t="s">
        <v>4431</v>
      </c>
    </row>
    <row r="4529" spans="1:3" x14ac:dyDescent="0.25">
      <c r="A4529" t="str">
        <f>"0611861901100"</f>
        <v>0611861901100</v>
      </c>
      <c r="B4529" t="str">
        <f>"CN2086"</f>
        <v>CN2086</v>
      </c>
      <c r="C4529" t="s">
        <v>4432</v>
      </c>
    </row>
    <row r="4530" spans="1:3" x14ac:dyDescent="0.25">
      <c r="A4530" t="str">
        <f>"0611861902100"</f>
        <v>0611861902100</v>
      </c>
      <c r="B4530" t="str">
        <f>"CN2060"</f>
        <v>CN2060</v>
      </c>
      <c r="C4530" t="s">
        <v>4433</v>
      </c>
    </row>
    <row r="4531" spans="1:3" x14ac:dyDescent="0.25">
      <c r="A4531" t="str">
        <f>"0611861903100"</f>
        <v>0611861903100</v>
      </c>
      <c r="B4531" t="str">
        <f>"CN2061"</f>
        <v>CN2061</v>
      </c>
      <c r="C4531" t="s">
        <v>4434</v>
      </c>
    </row>
    <row r="4532" spans="1:3" x14ac:dyDescent="0.25">
      <c r="A4532" t="str">
        <f>"0611861904100"</f>
        <v>0611861904100</v>
      </c>
      <c r="B4532" t="str">
        <f>"CN2064"</f>
        <v>CN2064</v>
      </c>
      <c r="C4532" t="s">
        <v>4435</v>
      </c>
    </row>
    <row r="4533" spans="1:3" x14ac:dyDescent="0.25">
      <c r="A4533" t="str">
        <f>"0611861905100"</f>
        <v>0611861905100</v>
      </c>
      <c r="B4533" t="str">
        <f>"CN2063"</f>
        <v>CN2063</v>
      </c>
      <c r="C4533" t="s">
        <v>4436</v>
      </c>
    </row>
    <row r="4534" spans="1:3" x14ac:dyDescent="0.25">
      <c r="A4534" t="str">
        <f>"0611834109100"</f>
        <v>0611834109100</v>
      </c>
      <c r="B4534" t="str">
        <f>"LG1006"</f>
        <v>LG1006</v>
      </c>
      <c r="C4534" t="s">
        <v>4438</v>
      </c>
    </row>
    <row r="4535" spans="1:3" x14ac:dyDescent="0.25">
      <c r="A4535" t="str">
        <f>"0611861907100"</f>
        <v>0611861907100</v>
      </c>
      <c r="B4535" t="str">
        <f>"CN2065"</f>
        <v>CN2065</v>
      </c>
      <c r="C4535" t="s">
        <v>4439</v>
      </c>
    </row>
    <row r="4536" spans="1:3" x14ac:dyDescent="0.25">
      <c r="A4536" t="str">
        <f>"0611861908100"</f>
        <v>0611861908100</v>
      </c>
      <c r="B4536" t="str">
        <f>"CN2066"</f>
        <v>CN2066</v>
      </c>
      <c r="C4536" t="s">
        <v>4440</v>
      </c>
    </row>
    <row r="4537" spans="1:3" x14ac:dyDescent="0.25">
      <c r="A4537" t="str">
        <f>"0611861910100"</f>
        <v>0611861910100</v>
      </c>
      <c r="B4537" t="str">
        <f>"CN2062"</f>
        <v>CN2062</v>
      </c>
      <c r="C4537" t="s">
        <v>4441</v>
      </c>
    </row>
    <row r="4538" spans="1:3" x14ac:dyDescent="0.25">
      <c r="A4538" t="str">
        <f>"0611861912100"</f>
        <v>0611861912100</v>
      </c>
      <c r="B4538" t="str">
        <f>"CN2037"</f>
        <v>CN2037</v>
      </c>
      <c r="C4538" t="s">
        <v>4442</v>
      </c>
    </row>
    <row r="4539" spans="1:3" x14ac:dyDescent="0.25">
      <c r="A4539" t="str">
        <f>"0611861913100"</f>
        <v>0611861913100</v>
      </c>
      <c r="B4539" t="str">
        <f>"CN2069"</f>
        <v>CN2069</v>
      </c>
      <c r="C4539" t="s">
        <v>4443</v>
      </c>
    </row>
    <row r="4540" spans="1:3" x14ac:dyDescent="0.25">
      <c r="A4540" t="str">
        <f>"0611861914100"</f>
        <v>0611861914100</v>
      </c>
      <c r="B4540" t="str">
        <f>"CN2070"</f>
        <v>CN2070</v>
      </c>
      <c r="C4540" t="s">
        <v>4444</v>
      </c>
    </row>
    <row r="4541" spans="1:3" x14ac:dyDescent="0.25">
      <c r="A4541" t="str">
        <f>"0611884195100"</f>
        <v>0611884195100</v>
      </c>
      <c r="B4541" t="str">
        <f>"CN2410"</f>
        <v>CN2410</v>
      </c>
      <c r="C4541" t="s">
        <v>4445</v>
      </c>
    </row>
    <row r="4542" spans="1:3" x14ac:dyDescent="0.25">
      <c r="A4542" t="str">
        <f>"0611861915100"</f>
        <v>0611861915100</v>
      </c>
      <c r="B4542" t="str">
        <f>"CN2071"</f>
        <v>CN2071</v>
      </c>
      <c r="C4542" t="s">
        <v>4446</v>
      </c>
    </row>
    <row r="4543" spans="1:3" x14ac:dyDescent="0.25">
      <c r="A4543" t="str">
        <f>"0611861916100"</f>
        <v>0611861916100</v>
      </c>
      <c r="B4543" t="str">
        <f>"CN2320"</f>
        <v>CN2320</v>
      </c>
      <c r="C4543" t="s">
        <v>4447</v>
      </c>
    </row>
    <row r="4544" spans="1:3" x14ac:dyDescent="0.25">
      <c r="A4544" t="str">
        <f>"0611861917100"</f>
        <v>0611861917100</v>
      </c>
      <c r="B4544" t="str">
        <f>"CN2073"</f>
        <v>CN2073</v>
      </c>
      <c r="C4544" t="s">
        <v>4448</v>
      </c>
    </row>
    <row r="4545" spans="1:3" x14ac:dyDescent="0.25">
      <c r="A4545" t="str">
        <f>"0611861918100"</f>
        <v>0611861918100</v>
      </c>
      <c r="B4545" t="str">
        <f>"CN2074"</f>
        <v>CN2074</v>
      </c>
      <c r="C4545" t="s">
        <v>4449</v>
      </c>
    </row>
    <row r="4546" spans="1:3" x14ac:dyDescent="0.25">
      <c r="A4546" t="str">
        <f>"0611861919100"</f>
        <v>0611861919100</v>
      </c>
      <c r="B4546" t="str">
        <f>"CN2075"</f>
        <v>CN2075</v>
      </c>
      <c r="C4546" t="s">
        <v>4450</v>
      </c>
    </row>
    <row r="4547" spans="1:3" x14ac:dyDescent="0.25">
      <c r="A4547" t="str">
        <f>"0611861920100"</f>
        <v>0611861920100</v>
      </c>
      <c r="B4547" t="str">
        <f>"CN2076"</f>
        <v>CN2076</v>
      </c>
      <c r="C4547" t="s">
        <v>4451</v>
      </c>
    </row>
    <row r="4548" spans="1:3" x14ac:dyDescent="0.25">
      <c r="A4548" t="str">
        <f>"0611861921100"</f>
        <v>0611861921100</v>
      </c>
      <c r="B4548" t="str">
        <f>"CN2077"</f>
        <v>CN2077</v>
      </c>
      <c r="C4548" t="s">
        <v>4452</v>
      </c>
    </row>
    <row r="4549" spans="1:3" x14ac:dyDescent="0.25">
      <c r="A4549" t="str">
        <f>"0611861922100"</f>
        <v>0611861922100</v>
      </c>
      <c r="B4549" t="str">
        <f>"CN2078"</f>
        <v>CN2078</v>
      </c>
      <c r="C4549" t="s">
        <v>4453</v>
      </c>
    </row>
    <row r="4550" spans="1:3" x14ac:dyDescent="0.25">
      <c r="A4550" t="str">
        <f>"0611861923100"</f>
        <v>0611861923100</v>
      </c>
      <c r="B4550" t="str">
        <f>"CN2079"</f>
        <v>CN2079</v>
      </c>
      <c r="C4550" t="s">
        <v>4454</v>
      </c>
    </row>
    <row r="4551" spans="1:3" x14ac:dyDescent="0.25">
      <c r="A4551" t="str">
        <f>"0611834111100"</f>
        <v>0611834111100</v>
      </c>
      <c r="B4551" t="str">
        <f>"LG8042"</f>
        <v>LG8042</v>
      </c>
      <c r="C4551" t="s">
        <v>4455</v>
      </c>
    </row>
    <row r="4552" spans="1:3" x14ac:dyDescent="0.25">
      <c r="A4552" t="str">
        <f>"0611861924100"</f>
        <v>0611861924100</v>
      </c>
      <c r="B4552" t="str">
        <f>"CN2080"</f>
        <v>CN2080</v>
      </c>
      <c r="C4552" t="s">
        <v>4456</v>
      </c>
    </row>
    <row r="4553" spans="1:3" x14ac:dyDescent="0.25">
      <c r="A4553" t="str">
        <f>"0611861925100"</f>
        <v>0611861925100</v>
      </c>
      <c r="B4553" t="str">
        <f>"CN2081"</f>
        <v>CN2081</v>
      </c>
      <c r="C4553" t="s">
        <v>4457</v>
      </c>
    </row>
    <row r="4554" spans="1:3" x14ac:dyDescent="0.25">
      <c r="A4554" t="str">
        <f>"0611861926100"</f>
        <v>0611861926100</v>
      </c>
      <c r="B4554" t="str">
        <f>"CN2082"</f>
        <v>CN2082</v>
      </c>
      <c r="C4554" t="s">
        <v>4458</v>
      </c>
    </row>
    <row r="4555" spans="1:3" x14ac:dyDescent="0.25">
      <c r="A4555" t="str">
        <f>"0611861927100"</f>
        <v>0611861927100</v>
      </c>
      <c r="B4555" t="str">
        <f>"CN2084"</f>
        <v>CN2084</v>
      </c>
      <c r="C4555" t="s">
        <v>4460</v>
      </c>
    </row>
    <row r="4556" spans="1:3" x14ac:dyDescent="0.25">
      <c r="A4556" t="str">
        <f>"0611861928100"</f>
        <v>0611861928100</v>
      </c>
      <c r="B4556" t="str">
        <f>"CN2085"</f>
        <v>CN2085</v>
      </c>
      <c r="C4556" t="s">
        <v>4461</v>
      </c>
    </row>
    <row r="4557" spans="1:3" x14ac:dyDescent="0.25">
      <c r="A4557" t="str">
        <f>"0611861929100"</f>
        <v>0611861929100</v>
      </c>
      <c r="B4557" t="str">
        <f>"CN2083"</f>
        <v>CN2083</v>
      </c>
      <c r="C4557" t="s">
        <v>4459</v>
      </c>
    </row>
    <row r="4558" spans="1:3" x14ac:dyDescent="0.25">
      <c r="A4558" t="str">
        <f>"0611861930100"</f>
        <v>0611861930100</v>
      </c>
      <c r="B4558" t="str">
        <f>"CN2271"</f>
        <v>CN2271</v>
      </c>
      <c r="C4558" t="s">
        <v>4462</v>
      </c>
    </row>
    <row r="4559" spans="1:3" x14ac:dyDescent="0.25">
      <c r="A4559" t="str">
        <f>"0611906565100"</f>
        <v>0611906565100</v>
      </c>
      <c r="B4559" t="str">
        <f>"CN2412"</f>
        <v>CN2412</v>
      </c>
      <c r="C4559" t="s">
        <v>4463</v>
      </c>
    </row>
    <row r="4560" spans="1:3" x14ac:dyDescent="0.25">
      <c r="A4560" t="str">
        <f>"0611861931100"</f>
        <v>0611861931100</v>
      </c>
      <c r="B4560" t="str">
        <f>"CN2033"</f>
        <v>CN2033</v>
      </c>
      <c r="C4560" t="s">
        <v>4464</v>
      </c>
    </row>
    <row r="4561" spans="1:3" x14ac:dyDescent="0.25">
      <c r="A4561" t="str">
        <f>"0611861932100"</f>
        <v>0611861932100</v>
      </c>
      <c r="B4561" t="str">
        <f>"CN2038"</f>
        <v>CN2038</v>
      </c>
      <c r="C4561" t="s">
        <v>4465</v>
      </c>
    </row>
    <row r="4562" spans="1:3" x14ac:dyDescent="0.25">
      <c r="A4562" t="str">
        <f>"0611861933100"</f>
        <v>0611861933100</v>
      </c>
      <c r="B4562" t="str">
        <f>"CN2089"</f>
        <v>CN2089</v>
      </c>
      <c r="C4562" t="s">
        <v>4466</v>
      </c>
    </row>
    <row r="4563" spans="1:3" x14ac:dyDescent="0.25">
      <c r="A4563" t="str">
        <f>"0611861934100"</f>
        <v>0611861934100</v>
      </c>
      <c r="B4563" t="str">
        <f>"CN2335"</f>
        <v>CN2335</v>
      </c>
      <c r="C4563" t="s">
        <v>4467</v>
      </c>
    </row>
    <row r="4564" spans="1:3" x14ac:dyDescent="0.25">
      <c r="A4564" t="str">
        <f>"0611861935100"</f>
        <v>0611861935100</v>
      </c>
      <c r="B4564" t="str">
        <f>"CN2090"</f>
        <v>CN2090</v>
      </c>
      <c r="C4564" t="s">
        <v>4468</v>
      </c>
    </row>
    <row r="4565" spans="1:3" x14ac:dyDescent="0.25">
      <c r="A4565" t="str">
        <f>"0611861936100"</f>
        <v>0611861936100</v>
      </c>
      <c r="B4565" t="str">
        <f>"CN2091"</f>
        <v>CN2091</v>
      </c>
      <c r="C4565" t="s">
        <v>4469</v>
      </c>
    </row>
    <row r="4566" spans="1:3" x14ac:dyDescent="0.25">
      <c r="A4566" t="str">
        <f>"0611861937100"</f>
        <v>0611861937100</v>
      </c>
      <c r="B4566" t="str">
        <f>"CN2092"</f>
        <v>CN2092</v>
      </c>
      <c r="C4566" t="s">
        <v>4470</v>
      </c>
    </row>
    <row r="4567" spans="1:3" x14ac:dyDescent="0.25">
      <c r="A4567" t="str">
        <f>"0611861938100"</f>
        <v>0611861938100</v>
      </c>
      <c r="B4567" t="str">
        <f>"CN2093"</f>
        <v>CN2093</v>
      </c>
      <c r="C4567" t="s">
        <v>4471</v>
      </c>
    </row>
    <row r="4568" spans="1:3" x14ac:dyDescent="0.25">
      <c r="A4568" t="str">
        <f>"0611861939100"</f>
        <v>0611861939100</v>
      </c>
      <c r="B4568" t="str">
        <f>"CN2094"</f>
        <v>CN2094</v>
      </c>
      <c r="C4568" t="s">
        <v>4472</v>
      </c>
    </row>
    <row r="4569" spans="1:3" x14ac:dyDescent="0.25">
      <c r="A4569" t="str">
        <f>"0611861940100"</f>
        <v>0611861940100</v>
      </c>
      <c r="B4569" t="str">
        <f>"CN2095"</f>
        <v>CN2095</v>
      </c>
      <c r="C4569" t="s">
        <v>4473</v>
      </c>
    </row>
    <row r="4570" spans="1:3" x14ac:dyDescent="0.25">
      <c r="A4570" t="str">
        <f>"0611861941100"</f>
        <v>0611861941100</v>
      </c>
      <c r="B4570" t="str">
        <f>"CN2096"</f>
        <v>CN2096</v>
      </c>
      <c r="C4570" t="s">
        <v>4474</v>
      </c>
    </row>
    <row r="4571" spans="1:3" x14ac:dyDescent="0.25">
      <c r="A4571" t="str">
        <f>"0611861942100"</f>
        <v>0611861942100</v>
      </c>
      <c r="B4571" t="str">
        <f>"CN2098"</f>
        <v>CN2098</v>
      </c>
      <c r="C4571" t="s">
        <v>4475</v>
      </c>
    </row>
    <row r="4572" spans="1:3" x14ac:dyDescent="0.25">
      <c r="A4572" t="str">
        <f>"0611861943100"</f>
        <v>0611861943100</v>
      </c>
      <c r="B4572" t="str">
        <f>"CN2099"</f>
        <v>CN2099</v>
      </c>
      <c r="C4572" t="s">
        <v>4476</v>
      </c>
    </row>
    <row r="4573" spans="1:3" x14ac:dyDescent="0.25">
      <c r="A4573" t="str">
        <f>"0611861944100"</f>
        <v>0611861944100</v>
      </c>
      <c r="B4573" t="str">
        <f>"CN2100"</f>
        <v>CN2100</v>
      </c>
      <c r="C4573" t="s">
        <v>4477</v>
      </c>
    </row>
    <row r="4574" spans="1:3" x14ac:dyDescent="0.25">
      <c r="A4574" t="str">
        <f>"0611861945100"</f>
        <v>0611861945100</v>
      </c>
      <c r="B4574" t="str">
        <f>"CN2101"</f>
        <v>CN2101</v>
      </c>
      <c r="C4574" t="s">
        <v>4478</v>
      </c>
    </row>
    <row r="4575" spans="1:3" x14ac:dyDescent="0.25">
      <c r="A4575" t="str">
        <f>"0611884196100"</f>
        <v>0611884196100</v>
      </c>
      <c r="B4575" t="str">
        <f>"CN2413"</f>
        <v>CN2413</v>
      </c>
      <c r="C4575" t="s">
        <v>4479</v>
      </c>
    </row>
    <row r="4576" spans="1:3" x14ac:dyDescent="0.25">
      <c r="A4576" t="str">
        <f>"0611861946100"</f>
        <v>0611861946100</v>
      </c>
      <c r="B4576" t="str">
        <f>"CN2102"</f>
        <v>CN2102</v>
      </c>
      <c r="C4576" t="s">
        <v>4480</v>
      </c>
    </row>
    <row r="4577" spans="1:3" x14ac:dyDescent="0.25">
      <c r="A4577" t="str">
        <f>"0611861947100"</f>
        <v>0611861947100</v>
      </c>
      <c r="B4577" t="str">
        <f>"CN2103"</f>
        <v>CN2103</v>
      </c>
      <c r="C4577" t="s">
        <v>4481</v>
      </c>
    </row>
    <row r="4578" spans="1:3" x14ac:dyDescent="0.25">
      <c r="A4578" t="str">
        <f>"0611834112100"</f>
        <v>0611834112100</v>
      </c>
      <c r="B4578" t="str">
        <f>"LF0010"</f>
        <v>LF0010</v>
      </c>
      <c r="C4578" t="s">
        <v>4482</v>
      </c>
    </row>
    <row r="4579" spans="1:3" x14ac:dyDescent="0.25">
      <c r="A4579" t="str">
        <f>"0611861948100"</f>
        <v>0611861948100</v>
      </c>
      <c r="B4579" t="str">
        <f>"CN2087"</f>
        <v>CN2087</v>
      </c>
      <c r="C4579" t="s">
        <v>4483</v>
      </c>
    </row>
    <row r="4580" spans="1:3" x14ac:dyDescent="0.25">
      <c r="A4580" t="str">
        <f>"0611861949100"</f>
        <v>0611861949100</v>
      </c>
      <c r="B4580" t="str">
        <f>"CN2088"</f>
        <v>CN2088</v>
      </c>
      <c r="C4580" t="s">
        <v>4484</v>
      </c>
    </row>
    <row r="4581" spans="1:3" x14ac:dyDescent="0.25">
      <c r="A4581" t="str">
        <f>"0611884197100"</f>
        <v>0611884197100</v>
      </c>
      <c r="B4581" t="str">
        <f>"LF8534"</f>
        <v>LF8534</v>
      </c>
      <c r="C4581" t="s">
        <v>4485</v>
      </c>
    </row>
    <row r="4582" spans="1:3" x14ac:dyDescent="0.25">
      <c r="A4582" t="str">
        <f>"0611861950100"</f>
        <v>0611861950100</v>
      </c>
      <c r="B4582" t="str">
        <f>"CN2097"</f>
        <v>CN2097</v>
      </c>
      <c r="C4582" t="s">
        <v>4486</v>
      </c>
    </row>
    <row r="4583" spans="1:3" x14ac:dyDescent="0.25">
      <c r="A4583" t="str">
        <f>"0611834113025"</f>
        <v>0611834113025</v>
      </c>
      <c r="B4583" t="str">
        <f>"MC4348"</f>
        <v>MC4348</v>
      </c>
      <c r="C4583" t="s">
        <v>4487</v>
      </c>
    </row>
    <row r="4584" spans="1:3" x14ac:dyDescent="0.25">
      <c r="A4584" t="str">
        <f>"0611834114025"</f>
        <v>0611834114025</v>
      </c>
      <c r="B4584" t="str">
        <f>"MC4349"</f>
        <v>MC4349</v>
      </c>
      <c r="C4584" t="s">
        <v>4488</v>
      </c>
    </row>
    <row r="4585" spans="1:3" x14ac:dyDescent="0.25">
      <c r="A4585" t="str">
        <f>"0611856933025"</f>
        <v>0611856933025</v>
      </c>
      <c r="B4585" t="str">
        <f>"MC4422"</f>
        <v>MC4422</v>
      </c>
      <c r="C4585" t="s">
        <v>4489</v>
      </c>
    </row>
    <row r="4586" spans="1:3" x14ac:dyDescent="0.25">
      <c r="A4586" t="str">
        <f>"0611834115025"</f>
        <v>0611834115025</v>
      </c>
      <c r="B4586" t="str">
        <f>"MC3020"</f>
        <v>MC3020</v>
      </c>
      <c r="C4586" t="s">
        <v>4490</v>
      </c>
    </row>
    <row r="4587" spans="1:3" x14ac:dyDescent="0.25">
      <c r="A4587" t="str">
        <f>"0611834117025"</f>
        <v>0611834117025</v>
      </c>
      <c r="B4587" t="str">
        <f>"MC0276"</f>
        <v>MC0276</v>
      </c>
      <c r="C4587" t="s">
        <v>4491</v>
      </c>
    </row>
    <row r="4588" spans="1:3" x14ac:dyDescent="0.25">
      <c r="A4588" t="str">
        <f>"0611834119025"</f>
        <v>0611834119025</v>
      </c>
      <c r="B4588" t="str">
        <f>"MC3720"</f>
        <v>MC3720</v>
      </c>
      <c r="C4588" t="s">
        <v>4492</v>
      </c>
    </row>
    <row r="4589" spans="1:3" x14ac:dyDescent="0.25">
      <c r="A4589" t="str">
        <f>"0611856934025"</f>
        <v>0611856934025</v>
      </c>
      <c r="B4589" t="str">
        <f>"MC4448"</f>
        <v>MC4448</v>
      </c>
      <c r="C4589" t="s">
        <v>4493</v>
      </c>
    </row>
    <row r="4590" spans="1:3" x14ac:dyDescent="0.25">
      <c r="A4590" t="str">
        <f>"0611834120025"</f>
        <v>0611834120025</v>
      </c>
      <c r="B4590" t="str">
        <f>"MQ3135"</f>
        <v>MQ3135</v>
      </c>
      <c r="C4590" t="s">
        <v>4494</v>
      </c>
    </row>
    <row r="4591" spans="1:3" x14ac:dyDescent="0.25">
      <c r="A4591" t="str">
        <f>"0611834121025"</f>
        <v>0611834121025</v>
      </c>
      <c r="B4591" t="str">
        <f>"MQ3136"</f>
        <v>MQ3136</v>
      </c>
      <c r="C4591" t="s">
        <v>4495</v>
      </c>
    </row>
    <row r="4592" spans="1:3" x14ac:dyDescent="0.25">
      <c r="A4592" t="str">
        <f>"0611884198025"</f>
        <v>0611884198025</v>
      </c>
      <c r="B4592" t="str">
        <f>"MQ0827"</f>
        <v>MQ0827</v>
      </c>
      <c r="C4592" t="s">
        <v>4499</v>
      </c>
    </row>
    <row r="4593" spans="1:3" x14ac:dyDescent="0.25">
      <c r="A4593" t="str">
        <f>"0611884199025"</f>
        <v>0611884199025</v>
      </c>
      <c r="B4593" t="str">
        <f>"MQ0828"</f>
        <v>MQ0828</v>
      </c>
      <c r="C4593" t="s">
        <v>4501</v>
      </c>
    </row>
    <row r="4594" spans="1:3" x14ac:dyDescent="0.25">
      <c r="A4594" t="str">
        <f>"0611884200025"</f>
        <v>0611884200025</v>
      </c>
      <c r="B4594" t="str">
        <f>"MQ0829"</f>
        <v>MQ0829</v>
      </c>
      <c r="C4594" t="s">
        <v>4502</v>
      </c>
    </row>
    <row r="4595" spans="1:3" x14ac:dyDescent="0.25">
      <c r="A4595" t="str">
        <f>"0611884201025"</f>
        <v>0611884201025</v>
      </c>
      <c r="B4595" t="str">
        <f>"MQ0830"</f>
        <v>MQ0830</v>
      </c>
      <c r="C4595" t="s">
        <v>4503</v>
      </c>
    </row>
    <row r="4596" spans="1:3" x14ac:dyDescent="0.25">
      <c r="A4596" t="str">
        <f>"0611834122025"</f>
        <v>0611834122025</v>
      </c>
      <c r="B4596" t="str">
        <f>"MQ3137"</f>
        <v>MQ3137</v>
      </c>
      <c r="C4596" t="s">
        <v>4496</v>
      </c>
    </row>
    <row r="4597" spans="1:3" x14ac:dyDescent="0.25">
      <c r="A4597" t="str">
        <f>"0611834123025"</f>
        <v>0611834123025</v>
      </c>
      <c r="B4597" t="str">
        <f>"MQ3138"</f>
        <v>MQ3138</v>
      </c>
      <c r="C4597" t="s">
        <v>4497</v>
      </c>
    </row>
    <row r="4598" spans="1:3" x14ac:dyDescent="0.25">
      <c r="A4598" t="str">
        <f>"0611834124025"</f>
        <v>0611834124025</v>
      </c>
      <c r="B4598" t="str">
        <f>"MQ3139"</f>
        <v>MQ3139</v>
      </c>
      <c r="C4598" t="s">
        <v>4498</v>
      </c>
    </row>
    <row r="4599" spans="1:3" x14ac:dyDescent="0.25">
      <c r="A4599" t="str">
        <f>"0611834125025"</f>
        <v>0611834125025</v>
      </c>
      <c r="B4599" t="str">
        <f>"MQ3140"</f>
        <v>MQ3140</v>
      </c>
      <c r="C4599" t="s">
        <v>4500</v>
      </c>
    </row>
    <row r="4600" spans="1:3" x14ac:dyDescent="0.25">
      <c r="A4600" t="str">
        <f>"0611834126025"</f>
        <v>0611834126025</v>
      </c>
      <c r="B4600" t="str">
        <f>"MC4287"</f>
        <v>MC4287</v>
      </c>
      <c r="C4600" t="s">
        <v>4504</v>
      </c>
    </row>
    <row r="4601" spans="1:3" x14ac:dyDescent="0.25">
      <c r="A4601" t="str">
        <f>"0611884202025"</f>
        <v>0611884202025</v>
      </c>
      <c r="B4601" t="str">
        <f>"MQ0831"</f>
        <v>MQ0831</v>
      </c>
      <c r="C4601" t="s">
        <v>4505</v>
      </c>
    </row>
    <row r="4602" spans="1:3" x14ac:dyDescent="0.25">
      <c r="A4602" t="str">
        <f>"0611906739025"</f>
        <v>0611906739025</v>
      </c>
      <c r="B4602" t="str">
        <f>"MQ7587"</f>
        <v>MQ7587</v>
      </c>
      <c r="C4602" t="s">
        <v>4506</v>
      </c>
    </row>
    <row r="4603" spans="1:3" x14ac:dyDescent="0.25">
      <c r="A4603" t="str">
        <f>"0611834127025"</f>
        <v>0611834127025</v>
      </c>
      <c r="B4603" t="str">
        <f>"MQ0192"</f>
        <v>MQ0192</v>
      </c>
      <c r="C4603" t="s">
        <v>4507</v>
      </c>
    </row>
    <row r="4604" spans="1:3" x14ac:dyDescent="0.25">
      <c r="A4604" t="str">
        <f>"0611834128025"</f>
        <v>0611834128025</v>
      </c>
      <c r="B4604" t="str">
        <f>"MQ0193"</f>
        <v>MQ0193</v>
      </c>
      <c r="C4604" t="s">
        <v>4508</v>
      </c>
    </row>
    <row r="4605" spans="1:3" x14ac:dyDescent="0.25">
      <c r="A4605" t="str">
        <f>"0611834129025"</f>
        <v>0611834129025</v>
      </c>
      <c r="B4605" t="str">
        <f>"MQ0569"</f>
        <v>MQ0569</v>
      </c>
      <c r="C4605" t="s">
        <v>4509</v>
      </c>
    </row>
    <row r="4606" spans="1:3" x14ac:dyDescent="0.25">
      <c r="A4606" t="str">
        <f>"0611834130025"</f>
        <v>0611834130025</v>
      </c>
      <c r="B4606" t="str">
        <f>"MQ0570"</f>
        <v>MQ0570</v>
      </c>
      <c r="C4606" t="s">
        <v>4510</v>
      </c>
    </row>
    <row r="4607" spans="1:3" x14ac:dyDescent="0.25">
      <c r="A4607" t="str">
        <f>"0611834131025"</f>
        <v>0611834131025</v>
      </c>
      <c r="B4607" t="str">
        <f>"MQ0571"</f>
        <v>MQ0571</v>
      </c>
      <c r="C4607" t="s">
        <v>4511</v>
      </c>
    </row>
    <row r="4608" spans="1:3" x14ac:dyDescent="0.25">
      <c r="A4608" t="str">
        <f>"0611906740025"</f>
        <v>0611906740025</v>
      </c>
      <c r="B4608" t="str">
        <f>"MQ7280"</f>
        <v>MQ7280</v>
      </c>
      <c r="C4608" t="s">
        <v>4512</v>
      </c>
    </row>
    <row r="4609" spans="1:3" x14ac:dyDescent="0.25">
      <c r="A4609" t="str">
        <f>"0611834132100"</f>
        <v>0611834132100</v>
      </c>
      <c r="B4609" t="str">
        <f>"LH3631"</f>
        <v>LH3631</v>
      </c>
      <c r="C4609" t="s">
        <v>4513</v>
      </c>
    </row>
    <row r="4610" spans="1:3" x14ac:dyDescent="0.25">
      <c r="A4610" t="str">
        <f>"0611834133025"</f>
        <v>0611834133025</v>
      </c>
      <c r="B4610" t="str">
        <f>"MC0280"</f>
        <v>MC0280</v>
      </c>
      <c r="C4610" t="s">
        <v>4514</v>
      </c>
    </row>
    <row r="4611" spans="1:3" x14ac:dyDescent="0.25">
      <c r="A4611" t="str">
        <f>"0611834134025"</f>
        <v>0611834134025</v>
      </c>
      <c r="B4611" t="str">
        <f>"MC3476"</f>
        <v>MC3476</v>
      </c>
      <c r="C4611" t="s">
        <v>4515</v>
      </c>
    </row>
    <row r="4612" spans="1:3" x14ac:dyDescent="0.25">
      <c r="A4612" t="str">
        <f>"0611834135025"</f>
        <v>0611834135025</v>
      </c>
      <c r="B4612" t="str">
        <f>"MC4312"</f>
        <v>MC4312</v>
      </c>
      <c r="C4612" t="s">
        <v>4516</v>
      </c>
    </row>
    <row r="4613" spans="1:3" x14ac:dyDescent="0.25">
      <c r="A4613" t="str">
        <f>"0611834136025"</f>
        <v>0611834136025</v>
      </c>
      <c r="B4613" t="str">
        <f>"MQ0706"</f>
        <v>MQ0706</v>
      </c>
      <c r="C4613" t="s">
        <v>4517</v>
      </c>
    </row>
    <row r="4614" spans="1:3" x14ac:dyDescent="0.25">
      <c r="A4614" t="str">
        <f>"0611906741025"</f>
        <v>0611906741025</v>
      </c>
      <c r="B4614" t="str">
        <f>"MQ7588"</f>
        <v>MQ7588</v>
      </c>
      <c r="C4614" t="s">
        <v>4518</v>
      </c>
    </row>
    <row r="4615" spans="1:3" x14ac:dyDescent="0.25">
      <c r="A4615" t="str">
        <f>"0611884203025"</f>
        <v>0611884203025</v>
      </c>
      <c r="B4615" t="str">
        <f>"MC4520"</f>
        <v>MC4520</v>
      </c>
      <c r="C4615" t="s">
        <v>4519</v>
      </c>
    </row>
    <row r="4616" spans="1:3" x14ac:dyDescent="0.25">
      <c r="A4616" t="str">
        <f>"0611856935025"</f>
        <v>0611856935025</v>
      </c>
      <c r="B4616" t="str">
        <f>"MC4435"</f>
        <v>MC4435</v>
      </c>
      <c r="C4616" t="s">
        <v>4520</v>
      </c>
    </row>
    <row r="4617" spans="1:3" x14ac:dyDescent="0.25">
      <c r="A4617" t="str">
        <f>"0611856936025"</f>
        <v>0611856936025</v>
      </c>
      <c r="B4617" t="str">
        <f>"MC4436"</f>
        <v>MC4436</v>
      </c>
      <c r="C4617" t="s">
        <v>4521</v>
      </c>
    </row>
    <row r="4618" spans="1:3" x14ac:dyDescent="0.25">
      <c r="A4618" t="str">
        <f>"0611856937025"</f>
        <v>0611856937025</v>
      </c>
      <c r="B4618" t="str">
        <f>"MC4437"</f>
        <v>MC4437</v>
      </c>
      <c r="C4618" t="s">
        <v>4522</v>
      </c>
    </row>
    <row r="4619" spans="1:3" x14ac:dyDescent="0.25">
      <c r="A4619" t="str">
        <f>"0611884204025"</f>
        <v>0611884204025</v>
      </c>
      <c r="B4619" t="str">
        <f>"MC4521"</f>
        <v>MC4521</v>
      </c>
      <c r="C4619" t="s">
        <v>4523</v>
      </c>
    </row>
    <row r="4620" spans="1:3" x14ac:dyDescent="0.25">
      <c r="A4620" t="str">
        <f>"0611856938025"</f>
        <v>0611856938025</v>
      </c>
      <c r="B4620" t="str">
        <f>"MC4438"</f>
        <v>MC4438</v>
      </c>
      <c r="C4620" t="s">
        <v>4524</v>
      </c>
    </row>
    <row r="4621" spans="1:3" x14ac:dyDescent="0.25">
      <c r="A4621" t="str">
        <f>"0611856939025"</f>
        <v>0611856939025</v>
      </c>
      <c r="B4621" t="str">
        <f>"MC4439"</f>
        <v>MC4439</v>
      </c>
      <c r="C4621" t="s">
        <v>4525</v>
      </c>
    </row>
    <row r="4622" spans="1:3" x14ac:dyDescent="0.25">
      <c r="A4622" t="str">
        <f>"0611834137025"</f>
        <v>0611834137025</v>
      </c>
      <c r="B4622" t="str">
        <f>"MC3477"</f>
        <v>MC3477</v>
      </c>
      <c r="C4622" t="s">
        <v>4526</v>
      </c>
    </row>
    <row r="4623" spans="1:3" x14ac:dyDescent="0.25">
      <c r="A4623" t="str">
        <f>"0611834138025"</f>
        <v>0611834138025</v>
      </c>
      <c r="B4623" t="str">
        <f>"MC3408"</f>
        <v>MC3408</v>
      </c>
      <c r="C4623" t="s">
        <v>4527</v>
      </c>
    </row>
    <row r="4624" spans="1:3" x14ac:dyDescent="0.25">
      <c r="A4624" t="str">
        <f>"0611834140025"</f>
        <v>0611834140025</v>
      </c>
      <c r="B4624" t="str">
        <f>"MC4330"</f>
        <v>MC4330</v>
      </c>
      <c r="C4624" t="s">
        <v>4528</v>
      </c>
    </row>
    <row r="4625" spans="1:3" x14ac:dyDescent="0.25">
      <c r="A4625" t="str">
        <f>"0611834143025"</f>
        <v>0611834143025</v>
      </c>
      <c r="B4625" t="str">
        <f>"MC3134"</f>
        <v>MC3134</v>
      </c>
      <c r="C4625" t="s">
        <v>4530</v>
      </c>
    </row>
    <row r="4626" spans="1:3" x14ac:dyDescent="0.25">
      <c r="A4626" t="str">
        <f>"0611834141025"</f>
        <v>0611834141025</v>
      </c>
      <c r="B4626" t="str">
        <f>"MC4098"</f>
        <v>MC4098</v>
      </c>
      <c r="C4626" t="s">
        <v>4531</v>
      </c>
    </row>
    <row r="4627" spans="1:3" x14ac:dyDescent="0.25">
      <c r="A4627" t="str">
        <f>"0611834142025"</f>
        <v>0611834142025</v>
      </c>
      <c r="B4627" t="str">
        <f>"MC4167"</f>
        <v>MC4167</v>
      </c>
      <c r="C4627" t="s">
        <v>4529</v>
      </c>
    </row>
    <row r="4628" spans="1:3" x14ac:dyDescent="0.25">
      <c r="A4628" t="str">
        <f>"0611834146025"</f>
        <v>0611834146025</v>
      </c>
      <c r="B4628" t="str">
        <f>"MC2805"</f>
        <v>MC2805</v>
      </c>
      <c r="C4628" t="s">
        <v>4532</v>
      </c>
    </row>
    <row r="4629" spans="1:3" x14ac:dyDescent="0.25">
      <c r="A4629" t="str">
        <f>"0611834147025"</f>
        <v>0611834147025</v>
      </c>
      <c r="B4629" t="str">
        <f>"MC2806"</f>
        <v>MC2806</v>
      </c>
      <c r="C4629" t="s">
        <v>4533</v>
      </c>
    </row>
    <row r="4630" spans="1:3" x14ac:dyDescent="0.25">
      <c r="A4630" t="str">
        <f>"0611834148025"</f>
        <v>0611834148025</v>
      </c>
      <c r="B4630" t="str">
        <f>"MC0279"</f>
        <v>MC0279</v>
      </c>
      <c r="C4630" t="s">
        <v>4534</v>
      </c>
    </row>
    <row r="4631" spans="1:3" x14ac:dyDescent="0.25">
      <c r="A4631" t="str">
        <f>"0611834149025"</f>
        <v>0611834149025</v>
      </c>
      <c r="B4631" t="str">
        <f>"MC1454"</f>
        <v>MC1454</v>
      </c>
      <c r="C4631" t="s">
        <v>4535</v>
      </c>
    </row>
    <row r="4632" spans="1:3" x14ac:dyDescent="0.25">
      <c r="A4632" t="str">
        <f>"0611834150025"</f>
        <v>0611834150025</v>
      </c>
      <c r="B4632" t="str">
        <f>"MQ3141"</f>
        <v>MQ3141</v>
      </c>
      <c r="C4632" t="s">
        <v>4536</v>
      </c>
    </row>
    <row r="4633" spans="1:3" x14ac:dyDescent="0.25">
      <c r="A4633" t="str">
        <f>"0611834151025"</f>
        <v>0611834151025</v>
      </c>
      <c r="B4633" t="str">
        <f>"MQ3142"</f>
        <v>MQ3142</v>
      </c>
      <c r="C4633" t="s">
        <v>4537</v>
      </c>
    </row>
    <row r="4634" spans="1:3" x14ac:dyDescent="0.25">
      <c r="A4634" t="str">
        <f>"0611834152025"</f>
        <v>0611834152025</v>
      </c>
      <c r="B4634" t="str">
        <f>"MQ3143"</f>
        <v>MQ3143</v>
      </c>
      <c r="C4634" t="s">
        <v>4538</v>
      </c>
    </row>
    <row r="4635" spans="1:3" x14ac:dyDescent="0.25">
      <c r="A4635" t="str">
        <f>"0611834153025"</f>
        <v>0611834153025</v>
      </c>
      <c r="B4635" t="str">
        <f>"MQ0642"</f>
        <v>MQ0642</v>
      </c>
      <c r="C4635" t="s">
        <v>4540</v>
      </c>
    </row>
    <row r="4636" spans="1:3" x14ac:dyDescent="0.25">
      <c r="A4636" t="str">
        <f>"0611834154025"</f>
        <v>0611834154025</v>
      </c>
      <c r="B4636" t="str">
        <f>"MQ3144"</f>
        <v>MQ3144</v>
      </c>
      <c r="C4636" t="s">
        <v>4541</v>
      </c>
    </row>
    <row r="4637" spans="1:3" x14ac:dyDescent="0.25">
      <c r="A4637" t="str">
        <f>"0611906742025"</f>
        <v>0611906742025</v>
      </c>
      <c r="B4637" t="str">
        <f>"MQ7589"</f>
        <v>MQ7589</v>
      </c>
      <c r="C4637" t="s">
        <v>4539</v>
      </c>
    </row>
    <row r="4638" spans="1:3" x14ac:dyDescent="0.25">
      <c r="A4638" t="str">
        <f>"0611834155025"</f>
        <v>0611834155025</v>
      </c>
      <c r="B4638" t="str">
        <f>"MQ3211"</f>
        <v>MQ3211</v>
      </c>
      <c r="C4638" t="s">
        <v>4542</v>
      </c>
    </row>
    <row r="4639" spans="1:3" x14ac:dyDescent="0.25">
      <c r="A4639" t="str">
        <f>"0611834156025"</f>
        <v>0611834156025</v>
      </c>
      <c r="B4639" t="str">
        <f>"MQ3145"</f>
        <v>MQ3145</v>
      </c>
      <c r="C4639" t="s">
        <v>4543</v>
      </c>
    </row>
    <row r="4640" spans="1:3" x14ac:dyDescent="0.25">
      <c r="A4640" t="str">
        <f>"0611834157025"</f>
        <v>0611834157025</v>
      </c>
      <c r="B4640" t="str">
        <f>"MQ3146"</f>
        <v>MQ3146</v>
      </c>
      <c r="C4640" t="s">
        <v>4544</v>
      </c>
    </row>
    <row r="4641" spans="1:3" x14ac:dyDescent="0.25">
      <c r="A4641" t="str">
        <f>"0611906743025"</f>
        <v>0611906743025</v>
      </c>
      <c r="B4641" t="str">
        <f>"MQ7590"</f>
        <v>MQ7590</v>
      </c>
      <c r="C4641" t="s">
        <v>4545</v>
      </c>
    </row>
    <row r="4642" spans="1:3" x14ac:dyDescent="0.25">
      <c r="A4642" t="str">
        <f>"0611834158025"</f>
        <v>0611834158025</v>
      </c>
      <c r="B4642" t="str">
        <f>"MQ6020"</f>
        <v>MQ6020</v>
      </c>
      <c r="C4642" t="s">
        <v>4546</v>
      </c>
    </row>
    <row r="4643" spans="1:3" x14ac:dyDescent="0.25">
      <c r="A4643" t="str">
        <f>"0611856940025"</f>
        <v>0611856940025</v>
      </c>
      <c r="B4643" t="str">
        <f>"MQ0778"</f>
        <v>MQ0778</v>
      </c>
      <c r="C4643" t="s">
        <v>4547</v>
      </c>
    </row>
    <row r="4644" spans="1:3" x14ac:dyDescent="0.25">
      <c r="A4644" t="str">
        <f>"0611856941025"</f>
        <v>0611856941025</v>
      </c>
      <c r="B4644" t="str">
        <f>"MQ0779"</f>
        <v>MQ0779</v>
      </c>
      <c r="C4644" t="s">
        <v>4548</v>
      </c>
    </row>
    <row r="4645" spans="1:3" x14ac:dyDescent="0.25">
      <c r="A4645" t="str">
        <f>"0611856942025"</f>
        <v>0611856942025</v>
      </c>
      <c r="B4645" t="str">
        <f>"MQ0780"</f>
        <v>MQ0780</v>
      </c>
      <c r="C4645" t="s">
        <v>4549</v>
      </c>
    </row>
    <row r="4646" spans="1:3" x14ac:dyDescent="0.25">
      <c r="A4646" t="str">
        <f>"0611834159025"</f>
        <v>0611834159025</v>
      </c>
      <c r="B4646" t="str">
        <f>"MQ0641"</f>
        <v>MQ0641</v>
      </c>
      <c r="C4646" t="s">
        <v>4550</v>
      </c>
    </row>
    <row r="4647" spans="1:3" x14ac:dyDescent="0.25">
      <c r="A4647" t="str">
        <f>"0611834160025"</f>
        <v>0611834160025</v>
      </c>
      <c r="B4647" t="str">
        <f>"MQ0643"</f>
        <v>MQ0643</v>
      </c>
      <c r="C4647" t="s">
        <v>4551</v>
      </c>
    </row>
    <row r="4648" spans="1:3" x14ac:dyDescent="0.25">
      <c r="A4648" t="str">
        <f>"0611834161025"</f>
        <v>0611834161025</v>
      </c>
      <c r="B4648" t="str">
        <f>"MQ3147"</f>
        <v>MQ3147</v>
      </c>
      <c r="C4648" t="s">
        <v>4552</v>
      </c>
    </row>
    <row r="4649" spans="1:3" x14ac:dyDescent="0.25">
      <c r="A4649" t="str">
        <f>"0611834163025"</f>
        <v>0611834163025</v>
      </c>
      <c r="B4649" t="str">
        <f>"MQ3212"</f>
        <v>MQ3212</v>
      </c>
      <c r="C4649" t="s">
        <v>4553</v>
      </c>
    </row>
    <row r="4650" spans="1:3" x14ac:dyDescent="0.25">
      <c r="A4650" t="str">
        <f>"0611834164025"</f>
        <v>0611834164025</v>
      </c>
      <c r="B4650" t="str">
        <f>"MQ0552"</f>
        <v>MQ0552</v>
      </c>
      <c r="C4650" t="s">
        <v>4554</v>
      </c>
    </row>
    <row r="4651" spans="1:3" x14ac:dyDescent="0.25">
      <c r="A4651" t="str">
        <f>"0611834165025"</f>
        <v>0611834165025</v>
      </c>
      <c r="B4651" t="str">
        <f>"MQ0551"</f>
        <v>MQ0551</v>
      </c>
      <c r="C4651" t="s">
        <v>4555</v>
      </c>
    </row>
    <row r="4652" spans="1:3" x14ac:dyDescent="0.25">
      <c r="A4652" t="str">
        <f>"0611834166025"</f>
        <v>0611834166025</v>
      </c>
      <c r="B4652" t="str">
        <f>"MQ0418"</f>
        <v>MQ0418</v>
      </c>
      <c r="C4652" t="s">
        <v>4556</v>
      </c>
    </row>
    <row r="4653" spans="1:3" x14ac:dyDescent="0.25">
      <c r="A4653" t="str">
        <f>"0611834170100"</f>
        <v>0611834170100</v>
      </c>
      <c r="B4653" t="str">
        <f>"LH3642"</f>
        <v>LH3642</v>
      </c>
      <c r="C4653" t="s">
        <v>4557</v>
      </c>
    </row>
    <row r="4654" spans="1:3" x14ac:dyDescent="0.25">
      <c r="A4654" t="str">
        <f>"0611834171025"</f>
        <v>0611834171025</v>
      </c>
      <c r="B4654" t="str">
        <f>"MC0278"</f>
        <v>MC0278</v>
      </c>
      <c r="C4654" t="s">
        <v>4558</v>
      </c>
    </row>
    <row r="4655" spans="1:3" x14ac:dyDescent="0.25">
      <c r="A4655" t="str">
        <f>"0611834172025"</f>
        <v>0611834172025</v>
      </c>
      <c r="B4655" t="str">
        <f>"MC2411"</f>
        <v>MC2411</v>
      </c>
      <c r="C4655" t="s">
        <v>4559</v>
      </c>
    </row>
    <row r="4656" spans="1:3" x14ac:dyDescent="0.25">
      <c r="A4656" t="str">
        <f>"0611834173025"</f>
        <v>0611834173025</v>
      </c>
      <c r="B4656" t="str">
        <f>"MC0281"</f>
        <v>MC0281</v>
      </c>
      <c r="C4656" t="s">
        <v>4560</v>
      </c>
    </row>
    <row r="4657" spans="1:3" x14ac:dyDescent="0.25">
      <c r="A4657" t="str">
        <f>"0611839352100"</f>
        <v>0611839352100</v>
      </c>
      <c r="B4657" t="str">
        <f>"LL8188"</f>
        <v>LL8188</v>
      </c>
      <c r="C4657" t="s">
        <v>4561</v>
      </c>
    </row>
    <row r="4658" spans="1:3" x14ac:dyDescent="0.25">
      <c r="A4658" t="str">
        <f>"0611839353100"</f>
        <v>0611839353100</v>
      </c>
      <c r="B4658" t="str">
        <f>"LL1701"</f>
        <v>LL1701</v>
      </c>
      <c r="C4658" t="s">
        <v>4562</v>
      </c>
    </row>
    <row r="4659" spans="1:3" x14ac:dyDescent="0.25">
      <c r="A4659" t="str">
        <f>"0611839354100"</f>
        <v>0611839354100</v>
      </c>
      <c r="B4659" t="str">
        <f>"LL1775"</f>
        <v>LL1775</v>
      </c>
      <c r="C4659" t="s">
        <v>4563</v>
      </c>
    </row>
    <row r="4660" spans="1:3" x14ac:dyDescent="0.25">
      <c r="A4660" t="str">
        <f>"0611839355200"</f>
        <v>0611839355200</v>
      </c>
      <c r="B4660" t="str">
        <f>"KY1775"</f>
        <v>KY1775</v>
      </c>
      <c r="C4660" t="s">
        <v>4564</v>
      </c>
    </row>
    <row r="4661" spans="1:3" x14ac:dyDescent="0.25">
      <c r="A4661" t="str">
        <f>"0611839356100"</f>
        <v>0611839356100</v>
      </c>
      <c r="B4661" t="str">
        <f>"LL1780"</f>
        <v>LL1780</v>
      </c>
      <c r="C4661" t="s">
        <v>4565</v>
      </c>
    </row>
    <row r="4662" spans="1:3" x14ac:dyDescent="0.25">
      <c r="A4662" t="str">
        <f>"0611839357100"</f>
        <v>0611839357100</v>
      </c>
      <c r="B4662" t="str">
        <f>"LL1795"</f>
        <v>LL1795</v>
      </c>
      <c r="C4662" t="s">
        <v>4566</v>
      </c>
    </row>
    <row r="4663" spans="1:3" x14ac:dyDescent="0.25">
      <c r="A4663" t="str">
        <f>"0611839358200"</f>
        <v>0611839358200</v>
      </c>
      <c r="B4663" t="str">
        <f>"KY1795"</f>
        <v>KY1795</v>
      </c>
      <c r="C4663" t="s">
        <v>4567</v>
      </c>
    </row>
    <row r="4664" spans="1:3" x14ac:dyDescent="0.25">
      <c r="A4664" t="str">
        <f>"0611839359100"</f>
        <v>0611839359100</v>
      </c>
      <c r="B4664" t="str">
        <f>"LL1784"</f>
        <v>LL1784</v>
      </c>
      <c r="C4664" t="s">
        <v>4568</v>
      </c>
    </row>
    <row r="4665" spans="1:3" x14ac:dyDescent="0.25">
      <c r="A4665" t="str">
        <f>"0611839360100"</f>
        <v>0611839360100</v>
      </c>
      <c r="B4665" t="str">
        <f>"LL1805"</f>
        <v>LL1805</v>
      </c>
      <c r="C4665" t="s">
        <v>4569</v>
      </c>
    </row>
    <row r="4666" spans="1:3" x14ac:dyDescent="0.25">
      <c r="A4666" t="str">
        <f>"0611839362100"</f>
        <v>0611839362100</v>
      </c>
      <c r="B4666" t="str">
        <f>"LL4075"</f>
        <v>LL4075</v>
      </c>
      <c r="C4666" t="s">
        <v>4570</v>
      </c>
    </row>
    <row r="4667" spans="1:3" x14ac:dyDescent="0.25">
      <c r="A4667" t="str">
        <f>"0611839363100"</f>
        <v>0611839363100</v>
      </c>
      <c r="B4667" t="str">
        <f>"LL8189"</f>
        <v>LL8189</v>
      </c>
      <c r="C4667" t="s">
        <v>4571</v>
      </c>
    </row>
    <row r="4668" spans="1:3" x14ac:dyDescent="0.25">
      <c r="A4668" t="str">
        <f>"0611839361100"</f>
        <v>0611839361100</v>
      </c>
      <c r="B4668" t="str">
        <f>"LL1820"</f>
        <v>LL1820</v>
      </c>
      <c r="C4668" t="s">
        <v>4573</v>
      </c>
    </row>
    <row r="4669" spans="1:3" x14ac:dyDescent="0.25">
      <c r="A4669" t="str">
        <f>"0611839364100"</f>
        <v>0611839364100</v>
      </c>
      <c r="B4669" t="str">
        <f>"LL1797"</f>
        <v>LL1797</v>
      </c>
      <c r="C4669" t="s">
        <v>4572</v>
      </c>
    </row>
    <row r="4670" spans="1:3" x14ac:dyDescent="0.25">
      <c r="A4670" t="str">
        <f>"0611839365100"</f>
        <v>0611839365100</v>
      </c>
      <c r="B4670" t="str">
        <f>"LL1821"</f>
        <v>LL1821</v>
      </c>
      <c r="C4670" t="s">
        <v>4574</v>
      </c>
    </row>
    <row r="4671" spans="1:3" x14ac:dyDescent="0.25">
      <c r="A4671" t="str">
        <f>"0611839366100"</f>
        <v>0611839366100</v>
      </c>
      <c r="B4671" t="str">
        <f>"LL8022"</f>
        <v>LL8022</v>
      </c>
      <c r="C4671" t="s">
        <v>4575</v>
      </c>
    </row>
    <row r="4672" spans="1:3" x14ac:dyDescent="0.25">
      <c r="A4672" t="str">
        <f>"0611839367100"</f>
        <v>0611839367100</v>
      </c>
      <c r="B4672" t="str">
        <f>"LL8017"</f>
        <v>LL8017</v>
      </c>
      <c r="C4672" t="s">
        <v>4576</v>
      </c>
    </row>
    <row r="4673" spans="1:3" x14ac:dyDescent="0.25">
      <c r="A4673" t="str">
        <f>"0611839368100"</f>
        <v>0611839368100</v>
      </c>
      <c r="B4673" t="str">
        <f>"LL1823"</f>
        <v>LL1823</v>
      </c>
      <c r="C4673" t="s">
        <v>4577</v>
      </c>
    </row>
    <row r="4674" spans="1:3" x14ac:dyDescent="0.25">
      <c r="A4674" t="str">
        <f>"0611856943100"</f>
        <v>0611856943100</v>
      </c>
      <c r="B4674" t="str">
        <f>"LL5037"</f>
        <v>LL5037</v>
      </c>
      <c r="C4674" t="s">
        <v>4578</v>
      </c>
    </row>
    <row r="4675" spans="1:3" x14ac:dyDescent="0.25">
      <c r="A4675" t="str">
        <f>"0611839369100"</f>
        <v>0611839369100</v>
      </c>
      <c r="B4675" t="str">
        <f>"LL1776"</f>
        <v>LL1776</v>
      </c>
      <c r="C4675" t="s">
        <v>4579</v>
      </c>
    </row>
    <row r="4676" spans="1:3" x14ac:dyDescent="0.25">
      <c r="A4676" t="str">
        <f>"0611839370100"</f>
        <v>0611839370100</v>
      </c>
      <c r="B4676" t="str">
        <f>"LL4832"</f>
        <v>LL4832</v>
      </c>
      <c r="C4676" t="s">
        <v>4580</v>
      </c>
    </row>
    <row r="4677" spans="1:3" x14ac:dyDescent="0.25">
      <c r="A4677" t="str">
        <f>"0611839371100"</f>
        <v>0611839371100</v>
      </c>
      <c r="B4677" t="str">
        <f>"LL1825"</f>
        <v>LL1825</v>
      </c>
      <c r="C4677" t="s">
        <v>4581</v>
      </c>
    </row>
    <row r="4678" spans="1:3" x14ac:dyDescent="0.25">
      <c r="A4678" t="str">
        <f>"0611839373100"</f>
        <v>0611839373100</v>
      </c>
      <c r="B4678" t="str">
        <f>"LL1830"</f>
        <v>LL1830</v>
      </c>
      <c r="C4678" t="s">
        <v>4582</v>
      </c>
    </row>
    <row r="4679" spans="1:3" x14ac:dyDescent="0.25">
      <c r="A4679" t="str">
        <f>"0611839374100"</f>
        <v>0611839374100</v>
      </c>
      <c r="B4679" t="str">
        <f>"LL8190"</f>
        <v>LL8190</v>
      </c>
      <c r="C4679" t="s">
        <v>4583</v>
      </c>
    </row>
    <row r="4680" spans="1:3" x14ac:dyDescent="0.25">
      <c r="A4680" t="str">
        <f>"0611839375100"</f>
        <v>0611839375100</v>
      </c>
      <c r="B4680" t="str">
        <f>"LL1778"</f>
        <v>LL1778</v>
      </c>
      <c r="C4680" t="s">
        <v>4584</v>
      </c>
    </row>
    <row r="4681" spans="1:3" x14ac:dyDescent="0.25">
      <c r="A4681" t="str">
        <f>"0611839376100"</f>
        <v>0611839376100</v>
      </c>
      <c r="B4681" t="str">
        <f>"LL8123"</f>
        <v>LL8123</v>
      </c>
      <c r="C4681" t="s">
        <v>4585</v>
      </c>
    </row>
    <row r="4682" spans="1:3" x14ac:dyDescent="0.25">
      <c r="A4682" t="str">
        <f>"0611856944100"</f>
        <v>0611856944100</v>
      </c>
      <c r="B4682" t="str">
        <f>"LL5038"</f>
        <v>LL5038</v>
      </c>
      <c r="C4682" t="s">
        <v>4586</v>
      </c>
    </row>
    <row r="4683" spans="1:3" x14ac:dyDescent="0.25">
      <c r="A4683" t="str">
        <f>"0611856945100"</f>
        <v>0611856945100</v>
      </c>
      <c r="B4683" t="str">
        <f>"LL5039"</f>
        <v>LL5039</v>
      </c>
      <c r="C4683" t="s">
        <v>4587</v>
      </c>
    </row>
    <row r="4684" spans="1:3" x14ac:dyDescent="0.25">
      <c r="A4684" t="str">
        <f>"0611839377100"</f>
        <v>0611839377100</v>
      </c>
      <c r="B4684" t="str">
        <f>"LL1850"</f>
        <v>LL1850</v>
      </c>
      <c r="C4684" t="s">
        <v>4588</v>
      </c>
    </row>
    <row r="4685" spans="1:3" x14ac:dyDescent="0.25">
      <c r="A4685" t="str">
        <f>"0611839378100"</f>
        <v>0611839378100</v>
      </c>
      <c r="B4685" t="str">
        <f>"LL8308"</f>
        <v>LL8308</v>
      </c>
      <c r="C4685" t="s">
        <v>4589</v>
      </c>
    </row>
    <row r="4686" spans="1:3" x14ac:dyDescent="0.25">
      <c r="A4686" t="str">
        <f>"0611839379100"</f>
        <v>0611839379100</v>
      </c>
      <c r="B4686" t="str">
        <f>"LL8191"</f>
        <v>LL8191</v>
      </c>
      <c r="C4686" t="s">
        <v>4590</v>
      </c>
    </row>
    <row r="4687" spans="1:3" x14ac:dyDescent="0.25">
      <c r="A4687" t="str">
        <f>"0611856946100"</f>
        <v>0611856946100</v>
      </c>
      <c r="B4687" t="str">
        <f>"LL5040"</f>
        <v>LL5040</v>
      </c>
      <c r="C4687" t="s">
        <v>4591</v>
      </c>
    </row>
    <row r="4688" spans="1:3" x14ac:dyDescent="0.25">
      <c r="A4688" t="str">
        <f>"0611839381100"</f>
        <v>0611839381100</v>
      </c>
      <c r="B4688" t="str">
        <f>"LL1782"</f>
        <v>LL1782</v>
      </c>
      <c r="C4688" t="s">
        <v>4592</v>
      </c>
    </row>
    <row r="4689" spans="1:3" x14ac:dyDescent="0.25">
      <c r="A4689" t="str">
        <f>"0611839382100"</f>
        <v>0611839382100</v>
      </c>
      <c r="B4689" t="str">
        <f>"LL1827"</f>
        <v>LL1827</v>
      </c>
      <c r="C4689" t="s">
        <v>4593</v>
      </c>
    </row>
    <row r="4690" spans="1:3" x14ac:dyDescent="0.25">
      <c r="A4690" t="str">
        <f>"0611832928100"</f>
        <v>0611832928100</v>
      </c>
      <c r="B4690" t="str">
        <f>"LC6211"</f>
        <v>LC6211</v>
      </c>
      <c r="C4690" t="s">
        <v>4594</v>
      </c>
    </row>
    <row r="4691" spans="1:3" x14ac:dyDescent="0.25">
      <c r="A4691" t="str">
        <f>"0611834177025"</f>
        <v>0611834177025</v>
      </c>
      <c r="B4691" t="str">
        <f>"MC3722"</f>
        <v>MC3722</v>
      </c>
      <c r="C4691" t="s">
        <v>4595</v>
      </c>
    </row>
    <row r="4692" spans="1:3" x14ac:dyDescent="0.25">
      <c r="A4692" t="str">
        <f>"0611861951100"</f>
        <v>0611861951100</v>
      </c>
      <c r="B4692" t="str">
        <f>"CN2104"</f>
        <v>CN2104</v>
      </c>
      <c r="C4692" t="s">
        <v>4596</v>
      </c>
    </row>
    <row r="4693" spans="1:3" x14ac:dyDescent="0.25">
      <c r="A4693" t="str">
        <f>"0611884206100"</f>
        <v>0611884206100</v>
      </c>
      <c r="B4693" t="str">
        <f>"LF8531"</f>
        <v>LF8531</v>
      </c>
      <c r="C4693" t="s">
        <v>4597</v>
      </c>
    </row>
    <row r="4694" spans="1:3" x14ac:dyDescent="0.25">
      <c r="A4694" t="str">
        <f>"0611834183025"</f>
        <v>0611834183025</v>
      </c>
      <c r="B4694" t="str">
        <f>"MC0282"</f>
        <v>MC0282</v>
      </c>
      <c r="C4694" t="s">
        <v>4602</v>
      </c>
    </row>
    <row r="4695" spans="1:3" x14ac:dyDescent="0.25">
      <c r="A4695" t="str">
        <f>"0611834184025"</f>
        <v>0611834184025</v>
      </c>
      <c r="B4695" t="str">
        <f>"MC0283"</f>
        <v>MC0283</v>
      </c>
      <c r="C4695" t="s">
        <v>4603</v>
      </c>
    </row>
    <row r="4696" spans="1:3" x14ac:dyDescent="0.25">
      <c r="A4696" t="str">
        <f>"0611834185100"</f>
        <v>0611834185100</v>
      </c>
      <c r="B4696" t="str">
        <f>"LH3756"</f>
        <v>LH3756</v>
      </c>
      <c r="C4696" t="s">
        <v>4604</v>
      </c>
    </row>
    <row r="4697" spans="1:3" x14ac:dyDescent="0.25">
      <c r="A4697" t="str">
        <f>"0611834187025"</f>
        <v>0611834187025</v>
      </c>
      <c r="B4697" t="str">
        <f>"MC3097"</f>
        <v>MC3097</v>
      </c>
      <c r="C4697" t="s">
        <v>4605</v>
      </c>
    </row>
    <row r="4698" spans="1:3" x14ac:dyDescent="0.25">
      <c r="A4698" t="str">
        <f>"0611861952050"</f>
        <v>0611861952050</v>
      </c>
      <c r="B4698" t="str">
        <f>"CE0975"</f>
        <v>CE0975</v>
      </c>
      <c r="C4698" t="s">
        <v>13838</v>
      </c>
    </row>
    <row r="4699" spans="1:3" x14ac:dyDescent="0.25">
      <c r="A4699" t="str">
        <f>"0611834188025"</f>
        <v>0611834188025</v>
      </c>
      <c r="B4699" t="str">
        <f>"MC3724"</f>
        <v>MC3724</v>
      </c>
      <c r="C4699" t="s">
        <v>4606</v>
      </c>
    </row>
    <row r="4700" spans="1:3" x14ac:dyDescent="0.25">
      <c r="A4700" t="str">
        <f>"0611906744025"</f>
        <v>0611906744025</v>
      </c>
      <c r="B4700" t="str">
        <f>"MQ7110"</f>
        <v>MQ7110</v>
      </c>
      <c r="C4700" t="s">
        <v>4608</v>
      </c>
    </row>
    <row r="4701" spans="1:3" x14ac:dyDescent="0.25">
      <c r="A4701" t="str">
        <f>"0611834193025"</f>
        <v>0611834193025</v>
      </c>
      <c r="B4701" t="str">
        <f>"MC3023"</f>
        <v>MC3023</v>
      </c>
      <c r="C4701" t="s">
        <v>4609</v>
      </c>
    </row>
    <row r="4702" spans="1:3" x14ac:dyDescent="0.25">
      <c r="A4702" t="str">
        <f>"0611834192025"</f>
        <v>0611834192025</v>
      </c>
      <c r="B4702" t="str">
        <f>"MC3024"</f>
        <v>MC3024</v>
      </c>
      <c r="C4702" t="s">
        <v>4610</v>
      </c>
    </row>
    <row r="4703" spans="1:3" x14ac:dyDescent="0.25">
      <c r="A4703" t="str">
        <f>"0611861953100"</f>
        <v>0611861953100</v>
      </c>
      <c r="B4703" t="str">
        <f>"CN2363"</f>
        <v>CN2363</v>
      </c>
      <c r="C4703" t="s">
        <v>4611</v>
      </c>
    </row>
    <row r="4704" spans="1:3" x14ac:dyDescent="0.25">
      <c r="A4704" t="str">
        <f>"0611861954050"</f>
        <v>0611861954050</v>
      </c>
      <c r="B4704" t="str">
        <f>"CR5065"</f>
        <v>CR5065</v>
      </c>
      <c r="C4704" t="s">
        <v>4612</v>
      </c>
    </row>
    <row r="4705" spans="1:3" x14ac:dyDescent="0.25">
      <c r="A4705" t="str">
        <f>"0611834195100"</f>
        <v>0611834195100</v>
      </c>
      <c r="B4705" t="str">
        <f>"LH3762"</f>
        <v>LH3762</v>
      </c>
      <c r="C4705" t="s">
        <v>4613</v>
      </c>
    </row>
    <row r="4706" spans="1:3" x14ac:dyDescent="0.25">
      <c r="A4706" t="str">
        <f>"0611834198100"</f>
        <v>0611834198100</v>
      </c>
      <c r="B4706" t="str">
        <f>"LB1811"</f>
        <v>LB1811</v>
      </c>
      <c r="C4706" t="s">
        <v>4614</v>
      </c>
    </row>
    <row r="4707" spans="1:3" x14ac:dyDescent="0.25">
      <c r="A4707" t="str">
        <f>"0611861955100"</f>
        <v>0611861955100</v>
      </c>
      <c r="B4707" t="str">
        <f>"CN2364"</f>
        <v>CN2364</v>
      </c>
      <c r="C4707" t="s">
        <v>4615</v>
      </c>
    </row>
    <row r="4708" spans="1:3" x14ac:dyDescent="0.25">
      <c r="A4708" t="str">
        <f>"0611834203025"</f>
        <v>0611834203025</v>
      </c>
      <c r="B4708" t="str">
        <f>"MC2660"</f>
        <v>MC2660</v>
      </c>
      <c r="C4708" t="s">
        <v>4616</v>
      </c>
    </row>
    <row r="4709" spans="1:3" x14ac:dyDescent="0.25">
      <c r="A4709" t="str">
        <f>"0611834204025"</f>
        <v>0611834204025</v>
      </c>
      <c r="B4709" t="str">
        <f>"MC2661"</f>
        <v>MC2661</v>
      </c>
      <c r="C4709" t="s">
        <v>4617</v>
      </c>
    </row>
    <row r="4710" spans="1:3" x14ac:dyDescent="0.25">
      <c r="A4710" t="str">
        <f>"0611834205025"</f>
        <v>0611834205025</v>
      </c>
      <c r="B4710" t="str">
        <f>"MQ0619"</f>
        <v>MQ0619</v>
      </c>
      <c r="C4710" t="s">
        <v>4618</v>
      </c>
    </row>
    <row r="4711" spans="1:3" x14ac:dyDescent="0.25">
      <c r="A4711" t="str">
        <f>"0611884207100"</f>
        <v>0611884207100</v>
      </c>
      <c r="B4711" t="str">
        <f>"LQ6304"</f>
        <v>LQ6304</v>
      </c>
      <c r="C4711" t="s">
        <v>4619</v>
      </c>
    </row>
    <row r="4712" spans="1:3" x14ac:dyDescent="0.25">
      <c r="A4712" t="str">
        <f>"0611834208025"</f>
        <v>0611834208025</v>
      </c>
      <c r="B4712" t="str">
        <f>"MQ0622"</f>
        <v>MQ0622</v>
      </c>
      <c r="C4712" t="s">
        <v>4620</v>
      </c>
    </row>
    <row r="4713" spans="1:3" x14ac:dyDescent="0.25">
      <c r="A4713" t="str">
        <f>"0611861956100"</f>
        <v>0611861956100</v>
      </c>
      <c r="B4713" t="str">
        <f>"CN2365"</f>
        <v>CN2365</v>
      </c>
      <c r="C4713" t="s">
        <v>4621</v>
      </c>
    </row>
    <row r="4714" spans="1:3" x14ac:dyDescent="0.25">
      <c r="A4714" t="str">
        <f>"0611861957100"</f>
        <v>0611861957100</v>
      </c>
      <c r="B4714" t="str">
        <f>"CN2366"</f>
        <v>CN2366</v>
      </c>
      <c r="C4714" t="s">
        <v>4622</v>
      </c>
    </row>
    <row r="4715" spans="1:3" x14ac:dyDescent="0.25">
      <c r="A4715" t="str">
        <f>"0611834215100"</f>
        <v>0611834215100</v>
      </c>
      <c r="B4715" t="str">
        <f>"LK7000"</f>
        <v>LK7000</v>
      </c>
      <c r="C4715" t="s">
        <v>4623</v>
      </c>
    </row>
    <row r="4716" spans="1:3" x14ac:dyDescent="0.25">
      <c r="A4716" t="str">
        <f>"0611834216025"</f>
        <v>0611834216025</v>
      </c>
      <c r="B4716" t="str">
        <f>"MQ0419"</f>
        <v>MQ0419</v>
      </c>
      <c r="C4716" t="s">
        <v>4624</v>
      </c>
    </row>
    <row r="4717" spans="1:3" x14ac:dyDescent="0.25">
      <c r="A4717" t="str">
        <f>"0611861958050"</f>
        <v>0611861958050</v>
      </c>
      <c r="B4717" t="str">
        <f>"CE0977"</f>
        <v>CE0977</v>
      </c>
      <c r="C4717" t="s">
        <v>4625</v>
      </c>
    </row>
    <row r="4718" spans="1:3" x14ac:dyDescent="0.25">
      <c r="A4718" t="str">
        <f>"0611834217025"</f>
        <v>0611834217025</v>
      </c>
      <c r="B4718" t="str">
        <f>"MQ0707"</f>
        <v>MQ0707</v>
      </c>
      <c r="C4718" t="s">
        <v>4626</v>
      </c>
    </row>
    <row r="4719" spans="1:3" x14ac:dyDescent="0.25">
      <c r="A4719" t="str">
        <f>"0611906745025"</f>
        <v>0611906745025</v>
      </c>
      <c r="B4719" t="str">
        <f>"MQ7591"</f>
        <v>MQ7591</v>
      </c>
      <c r="C4719" t="s">
        <v>4627</v>
      </c>
    </row>
    <row r="4720" spans="1:3" x14ac:dyDescent="0.25">
      <c r="A4720" t="str">
        <f>"0611861959050"</f>
        <v>0611861959050</v>
      </c>
      <c r="B4720" t="str">
        <f>"CE0978"</f>
        <v>CE0978</v>
      </c>
      <c r="C4720" t="s">
        <v>4628</v>
      </c>
    </row>
    <row r="4721" spans="1:3" x14ac:dyDescent="0.25">
      <c r="A4721" t="str">
        <f>"0611893595100"</f>
        <v>0611893595100</v>
      </c>
      <c r="B4721" t="str">
        <f>"CN5492"</f>
        <v>CN5492</v>
      </c>
      <c r="C4721" t="s">
        <v>4629</v>
      </c>
    </row>
    <row r="4722" spans="1:3" x14ac:dyDescent="0.25">
      <c r="A4722" t="str">
        <f>"0611834219025"</f>
        <v>0611834219025</v>
      </c>
      <c r="B4722" t="str">
        <f>"MC3725"</f>
        <v>MC3725</v>
      </c>
      <c r="C4722" t="s">
        <v>4630</v>
      </c>
    </row>
    <row r="4723" spans="1:3" x14ac:dyDescent="0.25">
      <c r="A4723" t="str">
        <f>"0611834221100"</f>
        <v>0611834221100</v>
      </c>
      <c r="B4723" t="str">
        <f>"LB7891"</f>
        <v>LB7891</v>
      </c>
      <c r="C4723" t="s">
        <v>4631</v>
      </c>
    </row>
    <row r="4724" spans="1:3" x14ac:dyDescent="0.25">
      <c r="A4724" t="str">
        <f>"0611884208100"</f>
        <v>0611884208100</v>
      </c>
      <c r="B4724" t="str">
        <f>"LC9629"</f>
        <v>LC9629</v>
      </c>
      <c r="C4724" t="s">
        <v>4632</v>
      </c>
    </row>
    <row r="4725" spans="1:3" x14ac:dyDescent="0.25">
      <c r="A4725" t="str">
        <f>"0611834224100"</f>
        <v>0611834224100</v>
      </c>
      <c r="B4725" t="str">
        <f>"LB2634"</f>
        <v>LB2634</v>
      </c>
      <c r="C4725" t="s">
        <v>4633</v>
      </c>
    </row>
    <row r="4726" spans="1:3" x14ac:dyDescent="0.25">
      <c r="A4726" t="str">
        <f>"0611906746100"</f>
        <v>0611906746100</v>
      </c>
      <c r="B4726" t="str">
        <f>"LK7256"</f>
        <v>LK7256</v>
      </c>
      <c r="C4726" t="s">
        <v>4634</v>
      </c>
    </row>
    <row r="4727" spans="1:3" x14ac:dyDescent="0.25">
      <c r="A4727" t="str">
        <f>"0611884209025"</f>
        <v>0611884209025</v>
      </c>
      <c r="B4727" t="str">
        <f>"MC4474"</f>
        <v>MC4474</v>
      </c>
      <c r="C4727" t="s">
        <v>4635</v>
      </c>
    </row>
    <row r="4728" spans="1:3" x14ac:dyDescent="0.25">
      <c r="A4728" t="str">
        <f>"0611906747100"</f>
        <v>0611906747100</v>
      </c>
      <c r="B4728" t="str">
        <f>"LK7257"</f>
        <v>LK7257</v>
      </c>
      <c r="C4728" t="s">
        <v>4636</v>
      </c>
    </row>
    <row r="4729" spans="1:3" x14ac:dyDescent="0.25">
      <c r="A4729" t="str">
        <f>"0611861960050"</f>
        <v>0611861960050</v>
      </c>
      <c r="B4729" t="str">
        <f>"CR4701"</f>
        <v>CR4701</v>
      </c>
      <c r="C4729" t="s">
        <v>13839</v>
      </c>
    </row>
    <row r="4730" spans="1:3" x14ac:dyDescent="0.25">
      <c r="A4730" t="str">
        <f>"0611861961050"</f>
        <v>0611861961050</v>
      </c>
      <c r="B4730" t="str">
        <f>"CR4706"</f>
        <v>CR4706</v>
      </c>
      <c r="C4730" t="s">
        <v>4637</v>
      </c>
    </row>
    <row r="4731" spans="1:3" x14ac:dyDescent="0.25">
      <c r="A4731" t="str">
        <f>"0611861962050"</f>
        <v>0611861962050</v>
      </c>
      <c r="B4731" t="str">
        <f>"CR4712"</f>
        <v>CR4712</v>
      </c>
      <c r="C4731" t="s">
        <v>4638</v>
      </c>
    </row>
    <row r="4732" spans="1:3" x14ac:dyDescent="0.25">
      <c r="A4732" t="str">
        <f>"0611861963050"</f>
        <v>0611861963050</v>
      </c>
      <c r="B4732" t="str">
        <f>"CR4717"</f>
        <v>CR4717</v>
      </c>
      <c r="C4732" t="s">
        <v>4639</v>
      </c>
    </row>
    <row r="4733" spans="1:3" x14ac:dyDescent="0.25">
      <c r="A4733" t="str">
        <f>"0611861964050"</f>
        <v>0611861964050</v>
      </c>
      <c r="B4733" t="str">
        <f>"CR4754"</f>
        <v>CR4754</v>
      </c>
      <c r="C4733" t="s">
        <v>4640</v>
      </c>
    </row>
    <row r="4734" spans="1:3" x14ac:dyDescent="0.25">
      <c r="A4734" t="str">
        <f>"0611834225100"</f>
        <v>0611834225100</v>
      </c>
      <c r="B4734" t="str">
        <f>"LH3776"</f>
        <v>LH3776</v>
      </c>
      <c r="C4734" t="s">
        <v>4641</v>
      </c>
    </row>
    <row r="4735" spans="1:3" x14ac:dyDescent="0.25">
      <c r="A4735" t="str">
        <f>"0611861965100"</f>
        <v>0611861965100</v>
      </c>
      <c r="B4735" t="str">
        <f>"CN5159"</f>
        <v>CN5159</v>
      </c>
      <c r="C4735" t="s">
        <v>4642</v>
      </c>
    </row>
    <row r="4736" spans="1:3" x14ac:dyDescent="0.25">
      <c r="A4736" t="str">
        <f>"0611834227025"</f>
        <v>0611834227025</v>
      </c>
      <c r="B4736" t="str">
        <f>"MQ0205"</f>
        <v>MQ0205</v>
      </c>
      <c r="C4736" t="s">
        <v>4643</v>
      </c>
    </row>
    <row r="4737" spans="1:3" x14ac:dyDescent="0.25">
      <c r="A4737" t="str">
        <f>"0611861967100"</f>
        <v>0611861967100</v>
      </c>
      <c r="B4737" t="str">
        <f>"CN5160"</f>
        <v>CN5160</v>
      </c>
      <c r="C4737" t="s">
        <v>4644</v>
      </c>
    </row>
    <row r="4738" spans="1:3" x14ac:dyDescent="0.25">
      <c r="A4738" t="str">
        <f>"0611834228025"</f>
        <v>0611834228025</v>
      </c>
      <c r="B4738" t="str">
        <f>"MC0856"</f>
        <v>MC0856</v>
      </c>
      <c r="C4738" t="s">
        <v>4645</v>
      </c>
    </row>
    <row r="4739" spans="1:3" x14ac:dyDescent="0.25">
      <c r="A4739" t="str">
        <f>"0611856947100"</f>
        <v>0611856947100</v>
      </c>
      <c r="B4739" t="str">
        <f>"LK7049"</f>
        <v>LK7049</v>
      </c>
      <c r="C4739" t="s">
        <v>4646</v>
      </c>
    </row>
    <row r="4740" spans="1:3" x14ac:dyDescent="0.25">
      <c r="A4740" t="str">
        <f>"0611834229025"</f>
        <v>0611834229025</v>
      </c>
      <c r="B4740" t="str">
        <f>"MQ0572"</f>
        <v>MQ0572</v>
      </c>
      <c r="C4740" t="s">
        <v>4647</v>
      </c>
    </row>
    <row r="4741" spans="1:3" x14ac:dyDescent="0.25">
      <c r="A4741" t="str">
        <f>"0611834230025"</f>
        <v>0611834230025</v>
      </c>
      <c r="B4741" t="str">
        <f>"MC1153"</f>
        <v>MC1153</v>
      </c>
      <c r="C4741" t="s">
        <v>4648</v>
      </c>
    </row>
    <row r="4742" spans="1:3" x14ac:dyDescent="0.25">
      <c r="A4742" t="str">
        <f>"0611834231025"</f>
        <v>0611834231025</v>
      </c>
      <c r="B4742" t="str">
        <f>"MC3726"</f>
        <v>MC3726</v>
      </c>
      <c r="C4742" t="s">
        <v>4649</v>
      </c>
    </row>
    <row r="4743" spans="1:3" x14ac:dyDescent="0.25">
      <c r="A4743" t="str">
        <f>"0611861968100"</f>
        <v>0611861968100</v>
      </c>
      <c r="B4743" t="str">
        <f>"CN2308"</f>
        <v>CN2308</v>
      </c>
      <c r="C4743" t="s">
        <v>4650</v>
      </c>
    </row>
    <row r="4744" spans="1:3" x14ac:dyDescent="0.25">
      <c r="A4744" t="str">
        <f>"0611834232025"</f>
        <v>0611834232025</v>
      </c>
      <c r="B4744" t="str">
        <f>"MQ0206"</f>
        <v>MQ0206</v>
      </c>
      <c r="C4744" t="s">
        <v>4651</v>
      </c>
    </row>
    <row r="4745" spans="1:3" x14ac:dyDescent="0.25">
      <c r="A4745" t="str">
        <f>"0611861969100"</f>
        <v>0611861969100</v>
      </c>
      <c r="B4745" t="str">
        <f>"CN5165"</f>
        <v>CN5165</v>
      </c>
      <c r="C4745" t="s">
        <v>4652</v>
      </c>
    </row>
    <row r="4746" spans="1:3" x14ac:dyDescent="0.25">
      <c r="A4746" t="str">
        <f>"0611906748025"</f>
        <v>0611906748025</v>
      </c>
      <c r="B4746" t="str">
        <f>"MQ7113"</f>
        <v>MQ7113</v>
      </c>
      <c r="C4746" t="s">
        <v>4653</v>
      </c>
    </row>
    <row r="4747" spans="1:3" x14ac:dyDescent="0.25">
      <c r="A4747" t="str">
        <f>"0611834234100"</f>
        <v>0611834234100</v>
      </c>
      <c r="B4747" t="str">
        <f>"LH3855"</f>
        <v>LH3855</v>
      </c>
      <c r="C4747" t="s">
        <v>4654</v>
      </c>
    </row>
    <row r="4748" spans="1:3" x14ac:dyDescent="0.25">
      <c r="A4748" t="str">
        <f>"0611834235025"</f>
        <v>0611834235025</v>
      </c>
      <c r="B4748" t="str">
        <f>"MC0287"</f>
        <v>MC0287</v>
      </c>
      <c r="C4748" t="s">
        <v>4655</v>
      </c>
    </row>
    <row r="4749" spans="1:3" x14ac:dyDescent="0.25">
      <c r="A4749" t="str">
        <f>"0611834236100"</f>
        <v>0611834236100</v>
      </c>
      <c r="B4749" t="str">
        <f>"LQ5747"</f>
        <v>LQ5747</v>
      </c>
      <c r="C4749" t="s">
        <v>4656</v>
      </c>
    </row>
    <row r="4750" spans="1:3" x14ac:dyDescent="0.25">
      <c r="A4750" t="str">
        <f>"0611834238025"</f>
        <v>0611834238025</v>
      </c>
      <c r="B4750" t="str">
        <f>"MC1155"</f>
        <v>MC1155</v>
      </c>
      <c r="C4750" t="s">
        <v>4657</v>
      </c>
    </row>
    <row r="4751" spans="1:3" x14ac:dyDescent="0.25">
      <c r="A4751" t="str">
        <f>"0611861971050"</f>
        <v>0611861971050</v>
      </c>
      <c r="B4751" t="str">
        <f>"CE1625"</f>
        <v>CE1625</v>
      </c>
      <c r="C4751" t="s">
        <v>4658</v>
      </c>
    </row>
    <row r="4752" spans="1:3" x14ac:dyDescent="0.25">
      <c r="A4752" t="str">
        <f>"0611861972050"</f>
        <v>0611861972050</v>
      </c>
      <c r="B4752" t="str">
        <f>"CE0427"</f>
        <v>CE0427</v>
      </c>
      <c r="C4752" t="s">
        <v>4659</v>
      </c>
    </row>
    <row r="4753" spans="1:3" x14ac:dyDescent="0.25">
      <c r="A4753" t="str">
        <f>"0611834239100"</f>
        <v>0611834239100</v>
      </c>
      <c r="B4753" t="str">
        <f>"LG1005"</f>
        <v>LG1005</v>
      </c>
      <c r="C4753" t="s">
        <v>4660</v>
      </c>
    </row>
    <row r="4754" spans="1:3" x14ac:dyDescent="0.25">
      <c r="A4754" t="str">
        <f>"0611861973100"</f>
        <v>0611861973100</v>
      </c>
      <c r="B4754" t="str">
        <f>"CN5162"</f>
        <v>CN5162</v>
      </c>
      <c r="C4754" t="s">
        <v>4661</v>
      </c>
    </row>
    <row r="4755" spans="1:3" x14ac:dyDescent="0.25">
      <c r="A4755" t="str">
        <f>"0611834240100"</f>
        <v>0611834240100</v>
      </c>
      <c r="B4755" t="str">
        <f>"LK5746"</f>
        <v>LK5746</v>
      </c>
      <c r="C4755" t="s">
        <v>4662</v>
      </c>
    </row>
    <row r="4756" spans="1:3" x14ac:dyDescent="0.25">
      <c r="A4756" t="str">
        <f>"0611834241100"</f>
        <v>0611834241100</v>
      </c>
      <c r="B4756" t="str">
        <f>"LK5558"</f>
        <v>LK5558</v>
      </c>
      <c r="C4756" t="s">
        <v>4663</v>
      </c>
    </row>
    <row r="4757" spans="1:3" x14ac:dyDescent="0.25">
      <c r="A4757" t="str">
        <f>"0611834242100"</f>
        <v>0611834242100</v>
      </c>
      <c r="B4757" t="str">
        <f>"LQ3141"</f>
        <v>LQ3141</v>
      </c>
      <c r="C4757" t="s">
        <v>4664</v>
      </c>
    </row>
    <row r="4758" spans="1:3" x14ac:dyDescent="0.25">
      <c r="A4758" t="str">
        <f>"0611856948025"</f>
        <v>0611856948025</v>
      </c>
      <c r="B4758" t="str">
        <f>"MQ6025"</f>
        <v>MQ6025</v>
      </c>
      <c r="C4758" t="s">
        <v>4665</v>
      </c>
    </row>
    <row r="4759" spans="1:3" x14ac:dyDescent="0.25">
      <c r="A4759" t="str">
        <f>"0611834244100"</f>
        <v>0611834244100</v>
      </c>
      <c r="B4759" t="str">
        <f>"LK5539"</f>
        <v>LK5539</v>
      </c>
      <c r="C4759" t="s">
        <v>4666</v>
      </c>
    </row>
    <row r="4760" spans="1:3" x14ac:dyDescent="0.25">
      <c r="A4760" t="str">
        <f>"0611861974050"</f>
        <v>0611861974050</v>
      </c>
      <c r="B4760" t="str">
        <f>"CR4595"</f>
        <v>CR4595</v>
      </c>
      <c r="C4760" t="s">
        <v>4667</v>
      </c>
    </row>
    <row r="4761" spans="1:3" x14ac:dyDescent="0.25">
      <c r="A4761" t="str">
        <f>"0611861975050"</f>
        <v>0611861975050</v>
      </c>
      <c r="B4761" t="str">
        <f>"CR4600"</f>
        <v>CR4600</v>
      </c>
      <c r="C4761" t="s">
        <v>4668</v>
      </c>
    </row>
    <row r="4762" spans="1:3" x14ac:dyDescent="0.25">
      <c r="A4762" t="str">
        <f>"0611861976050"</f>
        <v>0611861976050</v>
      </c>
      <c r="B4762" t="str">
        <f>"CR4599"</f>
        <v>CR4599</v>
      </c>
      <c r="C4762" t="s">
        <v>4669</v>
      </c>
    </row>
    <row r="4763" spans="1:3" x14ac:dyDescent="0.25">
      <c r="A4763" t="str">
        <f>"0611861977050"</f>
        <v>0611861977050</v>
      </c>
      <c r="B4763" t="str">
        <f>"CR4887"</f>
        <v>CR4887</v>
      </c>
      <c r="C4763" t="s">
        <v>4670</v>
      </c>
    </row>
    <row r="4764" spans="1:3" x14ac:dyDescent="0.25">
      <c r="A4764" t="str">
        <f>"0611861978050"</f>
        <v>0611861978050</v>
      </c>
      <c r="B4764" t="str">
        <f>"CR4592"</f>
        <v>CR4592</v>
      </c>
      <c r="C4764" t="s">
        <v>4671</v>
      </c>
    </row>
    <row r="4765" spans="1:3" x14ac:dyDescent="0.25">
      <c r="A4765" t="str">
        <f>"0611861979050"</f>
        <v>0611861979050</v>
      </c>
      <c r="B4765" t="str">
        <f>"CR4596"</f>
        <v>CR4596</v>
      </c>
      <c r="C4765" t="s">
        <v>4672</v>
      </c>
    </row>
    <row r="4766" spans="1:3" x14ac:dyDescent="0.25">
      <c r="A4766" t="str">
        <f>"0611861980050"</f>
        <v>0611861980050</v>
      </c>
      <c r="B4766" t="str">
        <f>"CR4888"</f>
        <v>CR4888</v>
      </c>
      <c r="C4766" t="s">
        <v>4673</v>
      </c>
    </row>
    <row r="4767" spans="1:3" x14ac:dyDescent="0.25">
      <c r="A4767" t="str">
        <f>"0611861981050"</f>
        <v>0611861981050</v>
      </c>
      <c r="B4767" t="str">
        <f>"CR4601"</f>
        <v>CR4601</v>
      </c>
      <c r="C4767" t="s">
        <v>4674</v>
      </c>
    </row>
    <row r="4768" spans="1:3" x14ac:dyDescent="0.25">
      <c r="A4768" t="str">
        <f>"0611861982050"</f>
        <v>0611861982050</v>
      </c>
      <c r="B4768" t="str">
        <f>"CR4593"</f>
        <v>CR4593</v>
      </c>
      <c r="C4768" t="s">
        <v>4675</v>
      </c>
    </row>
    <row r="4769" spans="1:3" x14ac:dyDescent="0.25">
      <c r="A4769" t="str">
        <f>"0611861983050"</f>
        <v>0611861983050</v>
      </c>
      <c r="B4769" t="str">
        <f>"CR4889"</f>
        <v>CR4889</v>
      </c>
      <c r="C4769" t="s">
        <v>4676</v>
      </c>
    </row>
    <row r="4770" spans="1:3" x14ac:dyDescent="0.25">
      <c r="A4770" t="str">
        <f>"0611861984050"</f>
        <v>0611861984050</v>
      </c>
      <c r="B4770" t="str">
        <f>"CR4597"</f>
        <v>CR4597</v>
      </c>
      <c r="C4770" t="s">
        <v>4677</v>
      </c>
    </row>
    <row r="4771" spans="1:3" x14ac:dyDescent="0.25">
      <c r="A4771" t="str">
        <f>"0611861985050"</f>
        <v>0611861985050</v>
      </c>
      <c r="B4771" t="str">
        <f>"CR4598"</f>
        <v>CR4598</v>
      </c>
      <c r="C4771" t="s">
        <v>4678</v>
      </c>
    </row>
    <row r="4772" spans="1:3" x14ac:dyDescent="0.25">
      <c r="A4772" t="str">
        <f>"0611861986050"</f>
        <v>0611861986050</v>
      </c>
      <c r="B4772" t="str">
        <f>"CR4594"</f>
        <v>CR4594</v>
      </c>
      <c r="C4772" t="s">
        <v>4679</v>
      </c>
    </row>
    <row r="4773" spans="1:3" x14ac:dyDescent="0.25">
      <c r="A4773" t="str">
        <f>"0611861987050"</f>
        <v>0611861987050</v>
      </c>
      <c r="B4773" t="str">
        <f>"CR4602"</f>
        <v>CR4602</v>
      </c>
      <c r="C4773" t="s">
        <v>4680</v>
      </c>
    </row>
    <row r="4774" spans="1:3" x14ac:dyDescent="0.25">
      <c r="A4774" t="str">
        <f>"0611861988050"</f>
        <v>0611861988050</v>
      </c>
      <c r="B4774" t="str">
        <f>"CR4603"</f>
        <v>CR4603</v>
      </c>
      <c r="C4774" t="s">
        <v>4681</v>
      </c>
    </row>
    <row r="4775" spans="1:3" x14ac:dyDescent="0.25">
      <c r="A4775" t="str">
        <f>"0611861989050"</f>
        <v>0611861989050</v>
      </c>
      <c r="B4775" t="str">
        <f>"CR4604"</f>
        <v>CR4604</v>
      </c>
      <c r="C4775" t="s">
        <v>4682</v>
      </c>
    </row>
    <row r="4776" spans="1:3" x14ac:dyDescent="0.25">
      <c r="A4776" t="str">
        <f>"0611861990050"</f>
        <v>0611861990050</v>
      </c>
      <c r="B4776" t="str">
        <f>"CR4605"</f>
        <v>CR4605</v>
      </c>
      <c r="C4776" t="s">
        <v>4683</v>
      </c>
    </row>
    <row r="4777" spans="1:3" x14ac:dyDescent="0.25">
      <c r="A4777" t="str">
        <f>"0611861991050"</f>
        <v>0611861991050</v>
      </c>
      <c r="B4777" t="str">
        <f>"CR4606"</f>
        <v>CR4606</v>
      </c>
      <c r="C4777" t="s">
        <v>4684</v>
      </c>
    </row>
    <row r="4778" spans="1:3" x14ac:dyDescent="0.25">
      <c r="A4778" t="str">
        <f>"0611861992050"</f>
        <v>0611861992050</v>
      </c>
      <c r="B4778" t="str">
        <f>"CR4607"</f>
        <v>CR4607</v>
      </c>
      <c r="C4778" t="s">
        <v>4685</v>
      </c>
    </row>
    <row r="4779" spans="1:3" x14ac:dyDescent="0.25">
      <c r="A4779" t="str">
        <f>"0611834247100"</f>
        <v>0611834247100</v>
      </c>
      <c r="B4779" t="str">
        <f>"LG2551"</f>
        <v>LG2551</v>
      </c>
      <c r="C4779" t="s">
        <v>4686</v>
      </c>
    </row>
    <row r="4780" spans="1:3" x14ac:dyDescent="0.25">
      <c r="A4780" t="str">
        <f>"0611834249100"</f>
        <v>0611834249100</v>
      </c>
      <c r="B4780" t="str">
        <f>"LG2554"</f>
        <v>LG2554</v>
      </c>
      <c r="C4780" t="s">
        <v>4687</v>
      </c>
    </row>
    <row r="4781" spans="1:3" x14ac:dyDescent="0.25">
      <c r="A4781" t="str">
        <f>"0611834251025"</f>
        <v>0611834251025</v>
      </c>
      <c r="B4781" t="str">
        <f>"MC1890"</f>
        <v>MC1890</v>
      </c>
      <c r="C4781" t="s">
        <v>4688</v>
      </c>
    </row>
    <row r="4782" spans="1:3" x14ac:dyDescent="0.25">
      <c r="A4782" t="str">
        <f>"0611834252100"</f>
        <v>0611834252100</v>
      </c>
      <c r="B4782" t="str">
        <f>"LG2552"</f>
        <v>LG2552</v>
      </c>
      <c r="C4782" t="s">
        <v>4689</v>
      </c>
    </row>
    <row r="4783" spans="1:3" x14ac:dyDescent="0.25">
      <c r="A4783" t="str">
        <f>"0611834254025"</f>
        <v>0611834254025</v>
      </c>
      <c r="B4783" t="str">
        <f>"MC2615"</f>
        <v>MC2615</v>
      </c>
      <c r="C4783" t="s">
        <v>4690</v>
      </c>
    </row>
    <row r="4784" spans="1:3" x14ac:dyDescent="0.25">
      <c r="A4784" t="str">
        <f>"0611861993100"</f>
        <v>0611861993100</v>
      </c>
      <c r="B4784" t="str">
        <f>"CN5161"</f>
        <v>CN5161</v>
      </c>
      <c r="C4784" t="s">
        <v>4691</v>
      </c>
    </row>
    <row r="4785" spans="1:3" x14ac:dyDescent="0.25">
      <c r="A4785" t="str">
        <f>"0611861994050"</f>
        <v>0611861994050</v>
      </c>
      <c r="B4785" t="str">
        <f>"CR3695"</f>
        <v>CR3695</v>
      </c>
      <c r="C4785" t="s">
        <v>4692</v>
      </c>
    </row>
    <row r="4786" spans="1:3" x14ac:dyDescent="0.25">
      <c r="A4786" t="str">
        <f>"0611856949025"</f>
        <v>0611856949025</v>
      </c>
      <c r="B4786" t="str">
        <f>"MC4423"</f>
        <v>MC4423</v>
      </c>
      <c r="C4786" t="s">
        <v>4693</v>
      </c>
    </row>
    <row r="4787" spans="1:3" x14ac:dyDescent="0.25">
      <c r="A4787" t="str">
        <f>"0611861995100"</f>
        <v>0611861995100</v>
      </c>
      <c r="B4787" t="str">
        <f>"CN5163"</f>
        <v>CN5163</v>
      </c>
      <c r="C4787" t="s">
        <v>4694</v>
      </c>
    </row>
    <row r="4788" spans="1:3" x14ac:dyDescent="0.25">
      <c r="A4788" t="str">
        <f>"0611834255100"</f>
        <v>0611834255100</v>
      </c>
      <c r="B4788" t="str">
        <f>"LB2612"</f>
        <v>LB2612</v>
      </c>
      <c r="C4788" t="s">
        <v>4695</v>
      </c>
    </row>
    <row r="4789" spans="1:3" x14ac:dyDescent="0.25">
      <c r="A4789" t="str">
        <f>"0611861996050"</f>
        <v>0611861996050</v>
      </c>
      <c r="B4789" t="str">
        <f>"CR2198"</f>
        <v>CR2198</v>
      </c>
      <c r="C4789" t="s">
        <v>4696</v>
      </c>
    </row>
    <row r="4790" spans="1:3" x14ac:dyDescent="0.25">
      <c r="A4790" t="str">
        <f>"0611861997050"</f>
        <v>0611861997050</v>
      </c>
      <c r="B4790" t="str">
        <f>"CR2199"</f>
        <v>CR2199</v>
      </c>
      <c r="C4790" t="s">
        <v>4697</v>
      </c>
    </row>
    <row r="4791" spans="1:3" x14ac:dyDescent="0.25">
      <c r="A4791" t="str">
        <f>"0611861998050"</f>
        <v>0611861998050</v>
      </c>
      <c r="B4791" t="str">
        <f>"CR2200"</f>
        <v>CR2200</v>
      </c>
      <c r="C4791" t="s">
        <v>4698</v>
      </c>
    </row>
    <row r="4792" spans="1:3" x14ac:dyDescent="0.25">
      <c r="A4792" t="str">
        <f>"0611861999050"</f>
        <v>0611861999050</v>
      </c>
      <c r="B4792" t="str">
        <f>"CR2201"</f>
        <v>CR2201</v>
      </c>
      <c r="C4792" t="s">
        <v>4699</v>
      </c>
    </row>
    <row r="4793" spans="1:3" x14ac:dyDescent="0.25">
      <c r="A4793" t="str">
        <f>"0611862000050"</f>
        <v>0611862000050</v>
      </c>
      <c r="B4793" t="str">
        <f>"CR2202"</f>
        <v>CR2202</v>
      </c>
      <c r="C4793" t="s">
        <v>4700</v>
      </c>
    </row>
    <row r="4794" spans="1:3" x14ac:dyDescent="0.25">
      <c r="A4794" t="str">
        <f>"0611884210100"</f>
        <v>0611884210100</v>
      </c>
      <c r="B4794" t="str">
        <f>"LQ3915"</f>
        <v>LQ3915</v>
      </c>
      <c r="C4794" t="s">
        <v>4701</v>
      </c>
    </row>
    <row r="4795" spans="1:3" x14ac:dyDescent="0.25">
      <c r="A4795" t="str">
        <f>"0611834256100"</f>
        <v>0611834256100</v>
      </c>
      <c r="B4795" t="str">
        <f>"LQ0882"</f>
        <v>LQ0882</v>
      </c>
      <c r="C4795" t="s">
        <v>4702</v>
      </c>
    </row>
    <row r="4796" spans="1:3" x14ac:dyDescent="0.25">
      <c r="A4796" t="str">
        <f>"0611834258100"</f>
        <v>0611834258100</v>
      </c>
      <c r="B4796" t="str">
        <f>"LQ0571"</f>
        <v>LQ0571</v>
      </c>
      <c r="C4796" t="s">
        <v>4703</v>
      </c>
    </row>
    <row r="4797" spans="1:3" x14ac:dyDescent="0.25">
      <c r="A4797" t="str">
        <f>"0611862001100"</f>
        <v>0611862001100</v>
      </c>
      <c r="B4797" t="str">
        <f>"CN5164"</f>
        <v>CN5164</v>
      </c>
      <c r="C4797" t="s">
        <v>4704</v>
      </c>
    </row>
    <row r="4798" spans="1:3" x14ac:dyDescent="0.25">
      <c r="A4798" t="str">
        <f>"0611862002050"</f>
        <v>0611862002050</v>
      </c>
      <c r="B4798" t="str">
        <f>"CR4278"</f>
        <v>CR4278</v>
      </c>
      <c r="C4798" t="s">
        <v>4705</v>
      </c>
    </row>
    <row r="4799" spans="1:3" x14ac:dyDescent="0.25">
      <c r="A4799" t="str">
        <f>"0611834260100"</f>
        <v>0611834260100</v>
      </c>
      <c r="B4799" t="str">
        <f>"LG2553"</f>
        <v>LG2553</v>
      </c>
      <c r="C4799" t="s">
        <v>4706</v>
      </c>
    </row>
    <row r="4800" spans="1:3" x14ac:dyDescent="0.25">
      <c r="A4800" t="str">
        <f>"0611834262100"</f>
        <v>0611834262100</v>
      </c>
      <c r="B4800" t="str">
        <f>"LK3251"</f>
        <v>LK3251</v>
      </c>
      <c r="C4800" t="s">
        <v>4707</v>
      </c>
    </row>
    <row r="4801" spans="1:3" x14ac:dyDescent="0.25">
      <c r="A4801" t="str">
        <f>"0611834263100"</f>
        <v>0611834263100</v>
      </c>
      <c r="B4801" t="str">
        <f>"LH0044"</f>
        <v>LH0044</v>
      </c>
      <c r="C4801" t="s">
        <v>4708</v>
      </c>
    </row>
    <row r="4802" spans="1:3" x14ac:dyDescent="0.25">
      <c r="A4802" t="str">
        <f>"0611834264100"</f>
        <v>0611834264100</v>
      </c>
      <c r="B4802" t="str">
        <f>"LK4259"</f>
        <v>LK4259</v>
      </c>
      <c r="C4802" t="s">
        <v>4709</v>
      </c>
    </row>
    <row r="4803" spans="1:3" x14ac:dyDescent="0.25">
      <c r="A4803" t="str">
        <f>"0611862003050"</f>
        <v>0611862003050</v>
      </c>
      <c r="B4803" t="str">
        <f>"CR4825"</f>
        <v>CR4825</v>
      </c>
      <c r="C4803" t="s">
        <v>4710</v>
      </c>
    </row>
    <row r="4804" spans="1:3" x14ac:dyDescent="0.25">
      <c r="A4804" t="str">
        <f>"0611834280100"</f>
        <v>0611834280100</v>
      </c>
      <c r="B4804" t="str">
        <f>"LB2646"</f>
        <v>LB2646</v>
      </c>
      <c r="C4804" t="s">
        <v>4711</v>
      </c>
    </row>
    <row r="4805" spans="1:3" x14ac:dyDescent="0.25">
      <c r="A4805" t="str">
        <f>"0611834281100"</f>
        <v>0611834281100</v>
      </c>
      <c r="B4805" t="str">
        <f>"LK1223"</f>
        <v>LK1223</v>
      </c>
      <c r="C4805" t="s">
        <v>4712</v>
      </c>
    </row>
    <row r="4806" spans="1:3" x14ac:dyDescent="0.25">
      <c r="A4806" t="str">
        <f>"0611862004050"</f>
        <v>0611862004050</v>
      </c>
      <c r="B4806" t="str">
        <f>"CR2203"</f>
        <v>CR2203</v>
      </c>
      <c r="C4806" t="s">
        <v>4713</v>
      </c>
    </row>
    <row r="4807" spans="1:3" x14ac:dyDescent="0.25">
      <c r="A4807" t="str">
        <f>"0611834282100"</f>
        <v>0611834282100</v>
      </c>
      <c r="B4807" t="str">
        <f>"LK7012"</f>
        <v>LK7012</v>
      </c>
      <c r="C4807" t="s">
        <v>4714</v>
      </c>
    </row>
    <row r="4808" spans="1:3" x14ac:dyDescent="0.25">
      <c r="A4808" t="str">
        <f>"0611834284050"</f>
        <v>0611834284050</v>
      </c>
      <c r="B4808" t="str">
        <f>"NM1174"</f>
        <v>NM1174</v>
      </c>
      <c r="C4808" t="s">
        <v>4715</v>
      </c>
    </row>
    <row r="4809" spans="1:3" x14ac:dyDescent="0.25">
      <c r="A4809" t="str">
        <f>"0611834285025"</f>
        <v>0611834285025</v>
      </c>
      <c r="B4809" t="str">
        <f>"MQ6026"</f>
        <v>MQ6026</v>
      </c>
      <c r="C4809" t="s">
        <v>4716</v>
      </c>
    </row>
    <row r="4810" spans="1:3" x14ac:dyDescent="0.25">
      <c r="A4810" t="str">
        <f>"0611834286100"</f>
        <v>0611834286100</v>
      </c>
      <c r="B4810" t="str">
        <f>"LB2480"</f>
        <v>LB2480</v>
      </c>
      <c r="C4810" t="s">
        <v>4717</v>
      </c>
    </row>
    <row r="4811" spans="1:3" x14ac:dyDescent="0.25">
      <c r="A4811" t="str">
        <f>"0611834287100"</f>
        <v>0611834287100</v>
      </c>
      <c r="B4811" t="str">
        <f>"LQ5946"</f>
        <v>LQ5946</v>
      </c>
      <c r="C4811" t="s">
        <v>4718</v>
      </c>
    </row>
    <row r="4812" spans="1:3" x14ac:dyDescent="0.25">
      <c r="A4812" t="str">
        <f>"0611906749100"</f>
        <v>0611906749100</v>
      </c>
      <c r="B4812" t="str">
        <f>"LQ6310"</f>
        <v>LQ6310</v>
      </c>
      <c r="C4812" t="s">
        <v>4719</v>
      </c>
    </row>
    <row r="4813" spans="1:3" x14ac:dyDescent="0.25">
      <c r="A4813" t="str">
        <f>"0611834318100"</f>
        <v>0611834318100</v>
      </c>
      <c r="B4813" t="str">
        <f>"LC6309"</f>
        <v>LC6309</v>
      </c>
      <c r="C4813" t="s">
        <v>4720</v>
      </c>
    </row>
    <row r="4814" spans="1:3" x14ac:dyDescent="0.25">
      <c r="A4814" t="str">
        <f>"0611884211025"</f>
        <v>0611884211025</v>
      </c>
      <c r="B4814" t="str">
        <f>"MC1448"</f>
        <v>MC1448</v>
      </c>
      <c r="C4814" t="s">
        <v>4775</v>
      </c>
    </row>
    <row r="4815" spans="1:3" x14ac:dyDescent="0.25">
      <c r="A4815" t="str">
        <f>"0611834320100"</f>
        <v>0611834320100</v>
      </c>
      <c r="B4815" t="str">
        <f>"LC6307"</f>
        <v>LC6307</v>
      </c>
      <c r="C4815" t="s">
        <v>4721</v>
      </c>
    </row>
    <row r="4816" spans="1:3" x14ac:dyDescent="0.25">
      <c r="A4816" t="str">
        <f>"0611834319100"</f>
        <v>0611834319100</v>
      </c>
      <c r="B4816" t="str">
        <f>"LC6306"</f>
        <v>LC6306</v>
      </c>
      <c r="C4816" t="s">
        <v>4722</v>
      </c>
    </row>
    <row r="4817" spans="1:3" x14ac:dyDescent="0.25">
      <c r="A4817" t="str">
        <f>"0611884212025"</f>
        <v>0611884212025</v>
      </c>
      <c r="B4817" t="str">
        <f>"MC4475"</f>
        <v>MC4475</v>
      </c>
      <c r="C4817" t="s">
        <v>4776</v>
      </c>
    </row>
    <row r="4818" spans="1:3" x14ac:dyDescent="0.25">
      <c r="A4818" t="str">
        <f>"0611834289025"</f>
        <v>0611834289025</v>
      </c>
      <c r="B4818" t="str">
        <f>"MC0011"</f>
        <v>MC0011</v>
      </c>
      <c r="C4818" t="s">
        <v>4743</v>
      </c>
    </row>
    <row r="4819" spans="1:3" x14ac:dyDescent="0.25">
      <c r="A4819" t="str">
        <f>"0611906756025"</f>
        <v>0611906756025</v>
      </c>
      <c r="B4819" t="str">
        <f>"MC4538"</f>
        <v>MC4538</v>
      </c>
      <c r="C4819" t="s">
        <v>4744</v>
      </c>
    </row>
    <row r="4820" spans="1:3" x14ac:dyDescent="0.25">
      <c r="A4820" t="str">
        <f>"0611834290025"</f>
        <v>0611834290025</v>
      </c>
      <c r="B4820" t="str">
        <f>"MC4126"</f>
        <v>MC4126</v>
      </c>
      <c r="C4820" t="s">
        <v>4723</v>
      </c>
    </row>
    <row r="4821" spans="1:3" x14ac:dyDescent="0.25">
      <c r="A4821" t="str">
        <f>"0611834291025"</f>
        <v>0611834291025</v>
      </c>
      <c r="B4821" t="str">
        <f>"MC2809"</f>
        <v>MC2809</v>
      </c>
      <c r="C4821" t="s">
        <v>4724</v>
      </c>
    </row>
    <row r="4822" spans="1:3" x14ac:dyDescent="0.25">
      <c r="A4822" t="str">
        <f>"0611834292025"</f>
        <v>0611834292025</v>
      </c>
      <c r="B4822" t="str">
        <f>"MC0123"</f>
        <v>MC0123</v>
      </c>
      <c r="C4822" t="s">
        <v>4725</v>
      </c>
    </row>
    <row r="4823" spans="1:3" x14ac:dyDescent="0.25">
      <c r="A4823" t="str">
        <f>"0611834293025"</f>
        <v>0611834293025</v>
      </c>
      <c r="B4823" t="str">
        <f>"MC3221"</f>
        <v>MC3221</v>
      </c>
      <c r="C4823" t="s">
        <v>4726</v>
      </c>
    </row>
    <row r="4824" spans="1:3" x14ac:dyDescent="0.25">
      <c r="A4824" t="str">
        <f>"0611834294025"</f>
        <v>0611834294025</v>
      </c>
      <c r="B4824" t="str">
        <f>"MC0124"</f>
        <v>MC0124</v>
      </c>
      <c r="C4824" t="s">
        <v>4727</v>
      </c>
    </row>
    <row r="4825" spans="1:3" x14ac:dyDescent="0.25">
      <c r="A4825" t="str">
        <f>"0611834296100"</f>
        <v>0611834296100</v>
      </c>
      <c r="B4825" t="str">
        <f>"LF5075"</f>
        <v>LF5075</v>
      </c>
      <c r="C4825" t="s">
        <v>4730</v>
      </c>
    </row>
    <row r="4826" spans="1:3" x14ac:dyDescent="0.25">
      <c r="A4826" t="str">
        <f>"0611906753025"</f>
        <v>0611906753025</v>
      </c>
      <c r="B4826" t="str">
        <f>"MC4540"</f>
        <v>MC4540</v>
      </c>
      <c r="C4826" t="s">
        <v>4739</v>
      </c>
    </row>
    <row r="4827" spans="1:3" x14ac:dyDescent="0.25">
      <c r="A4827" t="str">
        <f>"0611834297025"</f>
        <v>0611834297025</v>
      </c>
      <c r="B4827" t="str">
        <f>"MC1162"</f>
        <v>MC1162</v>
      </c>
      <c r="C4827" t="s">
        <v>4731</v>
      </c>
    </row>
    <row r="4828" spans="1:3" x14ac:dyDescent="0.25">
      <c r="A4828" t="str">
        <f>"0611906754025"</f>
        <v>0611906754025</v>
      </c>
      <c r="B4828" t="str">
        <f>"MC4539"</f>
        <v>MC4539</v>
      </c>
      <c r="C4828" t="s">
        <v>4740</v>
      </c>
    </row>
    <row r="4829" spans="1:3" x14ac:dyDescent="0.25">
      <c r="A4829" t="str">
        <f>"0611834298025"</f>
        <v>0611834298025</v>
      </c>
      <c r="B4829" t="str">
        <f>"MC1157"</f>
        <v>MC1157</v>
      </c>
      <c r="C4829" t="s">
        <v>4732</v>
      </c>
    </row>
    <row r="4830" spans="1:3" x14ac:dyDescent="0.25">
      <c r="A4830" t="str">
        <f>"0611834101025"</f>
        <v>0611834101025</v>
      </c>
      <c r="B4830" t="str">
        <f>"MC0275"</f>
        <v>MC0275</v>
      </c>
      <c r="C4830" t="s">
        <v>4734</v>
      </c>
    </row>
    <row r="4831" spans="1:3" x14ac:dyDescent="0.25">
      <c r="A4831" t="str">
        <f>"0611906751025"</f>
        <v>0611906751025</v>
      </c>
      <c r="B4831" t="str">
        <f>"MC4541"</f>
        <v>MC4541</v>
      </c>
      <c r="C4831" t="s">
        <v>4733</v>
      </c>
    </row>
    <row r="4832" spans="1:3" x14ac:dyDescent="0.25">
      <c r="A4832" t="str">
        <f>"0611834299025"</f>
        <v>0611834299025</v>
      </c>
      <c r="B4832" t="str">
        <f>"MC1160"</f>
        <v>MC1160</v>
      </c>
      <c r="C4832" t="s">
        <v>4735</v>
      </c>
    </row>
    <row r="4833" spans="1:3" x14ac:dyDescent="0.25">
      <c r="A4833" t="str">
        <f>"0611906757025"</f>
        <v>0611906757025</v>
      </c>
      <c r="B4833" t="str">
        <f>"MC4542"</f>
        <v>MC4542</v>
      </c>
      <c r="C4833" t="s">
        <v>4753</v>
      </c>
    </row>
    <row r="4834" spans="1:3" x14ac:dyDescent="0.25">
      <c r="A4834" t="str">
        <f>"0611906758025"</f>
        <v>0611906758025</v>
      </c>
      <c r="B4834" t="str">
        <f>"MC4543"</f>
        <v>MC4543</v>
      </c>
      <c r="C4834" t="s">
        <v>4754</v>
      </c>
    </row>
    <row r="4835" spans="1:3" x14ac:dyDescent="0.25">
      <c r="A4835" t="str">
        <f>"0611834306100"</f>
        <v>0611834306100</v>
      </c>
      <c r="B4835" t="str">
        <f>"LF2550"</f>
        <v>LF2550</v>
      </c>
      <c r="C4835" t="s">
        <v>4737</v>
      </c>
    </row>
    <row r="4836" spans="1:3" x14ac:dyDescent="0.25">
      <c r="A4836" t="str">
        <f>"0611834842025"</f>
        <v>0611834842025</v>
      </c>
      <c r="B4836" t="str">
        <f>"MC1161"</f>
        <v>MC1161</v>
      </c>
      <c r="C4836" t="s">
        <v>4738</v>
      </c>
    </row>
    <row r="4837" spans="1:3" x14ac:dyDescent="0.25">
      <c r="A4837" t="str">
        <f>"0611834302025"</f>
        <v>0611834302025</v>
      </c>
      <c r="B4837" t="str">
        <f>"MC0530"</f>
        <v>MC0530</v>
      </c>
      <c r="C4837" t="s">
        <v>4750</v>
      </c>
    </row>
    <row r="4838" spans="1:3" x14ac:dyDescent="0.25">
      <c r="A4838" t="str">
        <f>"0611834295100"</f>
        <v>0611834295100</v>
      </c>
      <c r="B4838" t="str">
        <f>"MB5075"</f>
        <v>MB5075</v>
      </c>
      <c r="C4838" t="s">
        <v>4729</v>
      </c>
    </row>
    <row r="4839" spans="1:3" x14ac:dyDescent="0.25">
      <c r="A4839" t="str">
        <f>"0611906750025"</f>
        <v>0611906750025</v>
      </c>
      <c r="B4839" t="str">
        <f>"MC4536"</f>
        <v>MC4536</v>
      </c>
      <c r="C4839" t="s">
        <v>4728</v>
      </c>
    </row>
    <row r="4840" spans="1:3" x14ac:dyDescent="0.25">
      <c r="A4840" t="str">
        <f>"0611856950100"</f>
        <v>0611856950100</v>
      </c>
      <c r="B4840" t="str">
        <f>"LK6998"</f>
        <v>LK6998</v>
      </c>
      <c r="C4840" t="s">
        <v>4745</v>
      </c>
    </row>
    <row r="4841" spans="1:3" x14ac:dyDescent="0.25">
      <c r="A4841" t="str">
        <f>"0611906752025"</f>
        <v>0611906752025</v>
      </c>
      <c r="B4841" t="str">
        <f>"MC4537"</f>
        <v>MC4537</v>
      </c>
      <c r="C4841" t="s">
        <v>4736</v>
      </c>
    </row>
    <row r="4842" spans="1:3" x14ac:dyDescent="0.25">
      <c r="A4842" t="str">
        <f>"0611836951100"</f>
        <v>0611836951100</v>
      </c>
      <c r="B4842" t="str">
        <f>"MB5073"</f>
        <v>MB5073</v>
      </c>
      <c r="C4842" t="s">
        <v>4746</v>
      </c>
    </row>
    <row r="4843" spans="1:3" x14ac:dyDescent="0.25">
      <c r="A4843" t="str">
        <f>"0611836952100"</f>
        <v>0611836952100</v>
      </c>
      <c r="B4843" t="str">
        <f>"LF5073"</f>
        <v>LF5073</v>
      </c>
      <c r="C4843" t="s">
        <v>4747</v>
      </c>
    </row>
    <row r="4844" spans="1:3" x14ac:dyDescent="0.25">
      <c r="A4844" t="str">
        <f>"0611834300100"</f>
        <v>0611834300100</v>
      </c>
      <c r="B4844" t="str">
        <f>"LF9101"</f>
        <v>LF9101</v>
      </c>
      <c r="C4844" t="s">
        <v>4741</v>
      </c>
    </row>
    <row r="4845" spans="1:3" x14ac:dyDescent="0.25">
      <c r="A4845" t="str">
        <f>"0611834305100"</f>
        <v>0611834305100</v>
      </c>
      <c r="B4845" t="str">
        <f>"LG8029"</f>
        <v>LG8029</v>
      </c>
      <c r="C4845" t="s">
        <v>4755</v>
      </c>
    </row>
    <row r="4846" spans="1:3" x14ac:dyDescent="0.25">
      <c r="A4846" t="str">
        <f>"0611834301025"</f>
        <v>0611834301025</v>
      </c>
      <c r="B4846" t="str">
        <f>"MC0557"</f>
        <v>MC0557</v>
      </c>
      <c r="C4846" t="s">
        <v>4748</v>
      </c>
    </row>
    <row r="4847" spans="1:3" x14ac:dyDescent="0.25">
      <c r="A4847" t="str">
        <f>"0611837070025"</f>
        <v>0611837070025</v>
      </c>
      <c r="B4847" t="str">
        <f>"MC0558"</f>
        <v>MC0558</v>
      </c>
      <c r="C4847" t="s">
        <v>4749</v>
      </c>
    </row>
    <row r="4848" spans="1:3" x14ac:dyDescent="0.25">
      <c r="A4848" t="str">
        <f>"0611834303025"</f>
        <v>0611834303025</v>
      </c>
      <c r="B4848" t="str">
        <f>"MC0635"</f>
        <v>MC0635</v>
      </c>
      <c r="C4848" t="s">
        <v>4751</v>
      </c>
    </row>
    <row r="4849" spans="1:3" x14ac:dyDescent="0.25">
      <c r="A4849" t="str">
        <f>"0611906755025"</f>
        <v>0611906755025</v>
      </c>
      <c r="B4849" t="str">
        <f>"MC1165"</f>
        <v>MC1165</v>
      </c>
      <c r="C4849" t="s">
        <v>4742</v>
      </c>
    </row>
    <row r="4850" spans="1:3" x14ac:dyDescent="0.25">
      <c r="A4850" t="str">
        <f>"0611834304025"</f>
        <v>0611834304025</v>
      </c>
      <c r="B4850" t="str">
        <f>"MC1164"</f>
        <v>MC1164</v>
      </c>
      <c r="C4850" t="s">
        <v>4752</v>
      </c>
    </row>
    <row r="4851" spans="1:3" x14ac:dyDescent="0.25">
      <c r="A4851" t="str">
        <f>"0611834783025"</f>
        <v>0611834783025</v>
      </c>
      <c r="B4851" t="str">
        <f>"MC4203"</f>
        <v>MC4203</v>
      </c>
      <c r="C4851" t="s">
        <v>4756</v>
      </c>
    </row>
    <row r="4852" spans="1:3" x14ac:dyDescent="0.25">
      <c r="A4852" t="str">
        <f>"0611834784025"</f>
        <v>0611834784025</v>
      </c>
      <c r="B4852" t="str">
        <f>"MC3136"</f>
        <v>MC3136</v>
      </c>
      <c r="C4852" t="s">
        <v>4757</v>
      </c>
    </row>
    <row r="4853" spans="1:3" x14ac:dyDescent="0.25">
      <c r="A4853" t="str">
        <f>"0611834785100"</f>
        <v>0611834785100</v>
      </c>
      <c r="B4853" t="str">
        <f>"LH8950"</f>
        <v>LH8950</v>
      </c>
      <c r="C4853" t="s">
        <v>4758</v>
      </c>
    </row>
    <row r="4854" spans="1:3" x14ac:dyDescent="0.25">
      <c r="A4854" t="str">
        <f>"0611834786025"</f>
        <v>0611834786025</v>
      </c>
      <c r="B4854" t="str">
        <f>"MC0289"</f>
        <v>MC0289</v>
      </c>
      <c r="C4854" t="s">
        <v>4759</v>
      </c>
    </row>
    <row r="4855" spans="1:3" x14ac:dyDescent="0.25">
      <c r="A4855" t="str">
        <f>"0611834787025"</f>
        <v>0611834787025</v>
      </c>
      <c r="B4855" t="str">
        <f>"MC2667"</f>
        <v>MC2667</v>
      </c>
      <c r="C4855" t="s">
        <v>4760</v>
      </c>
    </row>
    <row r="4856" spans="1:3" x14ac:dyDescent="0.25">
      <c r="A4856" t="str">
        <f>"0611834788100"</f>
        <v>0611834788100</v>
      </c>
      <c r="B4856" t="str">
        <f>"LH3901"</f>
        <v>LH3901</v>
      </c>
      <c r="C4856" t="s">
        <v>4761</v>
      </c>
    </row>
    <row r="4857" spans="1:3" x14ac:dyDescent="0.25">
      <c r="A4857" t="str">
        <f>"0611834789025"</f>
        <v>0611834789025</v>
      </c>
      <c r="B4857" t="str">
        <f>"MC0290"</f>
        <v>MC0290</v>
      </c>
      <c r="C4857" t="s">
        <v>4762</v>
      </c>
    </row>
    <row r="4858" spans="1:3" x14ac:dyDescent="0.25">
      <c r="A4858" t="str">
        <f>"0611834790025"</f>
        <v>0611834790025</v>
      </c>
      <c r="B4858" t="str">
        <f>"MC2438"</f>
        <v>MC2438</v>
      </c>
      <c r="C4858" t="s">
        <v>4763</v>
      </c>
    </row>
    <row r="4859" spans="1:3" x14ac:dyDescent="0.25">
      <c r="A4859" t="str">
        <f>"0611834307100"</f>
        <v>0611834307100</v>
      </c>
      <c r="B4859" t="str">
        <f>"LF2600"</f>
        <v>LF2600</v>
      </c>
      <c r="C4859" t="s">
        <v>4764</v>
      </c>
    </row>
    <row r="4860" spans="1:3" x14ac:dyDescent="0.25">
      <c r="A4860" t="str">
        <f>"0611834308100"</f>
        <v>0611834308100</v>
      </c>
      <c r="B4860" t="str">
        <f>"LF2603"</f>
        <v>LF2603</v>
      </c>
      <c r="C4860" t="s">
        <v>4765</v>
      </c>
    </row>
    <row r="4861" spans="1:3" x14ac:dyDescent="0.25">
      <c r="A4861" t="str">
        <f>"0611834309100"</f>
        <v>0611834309100</v>
      </c>
      <c r="B4861" t="str">
        <f>"LF0028"</f>
        <v>LF0028</v>
      </c>
      <c r="C4861" t="s">
        <v>4766</v>
      </c>
    </row>
    <row r="4862" spans="1:3" x14ac:dyDescent="0.25">
      <c r="A4862" t="str">
        <f>"0611834310100"</f>
        <v>0611834310100</v>
      </c>
      <c r="B4862" t="str">
        <f>"LF2617"</f>
        <v>LF2617</v>
      </c>
      <c r="C4862" t="s">
        <v>4767</v>
      </c>
    </row>
    <row r="4863" spans="1:3" x14ac:dyDescent="0.25">
      <c r="A4863" t="str">
        <f>"0611834311100"</f>
        <v>0611834311100</v>
      </c>
      <c r="B4863" t="str">
        <f>"LF2609"</f>
        <v>LF2609</v>
      </c>
      <c r="C4863" t="s">
        <v>4768</v>
      </c>
    </row>
    <row r="4864" spans="1:3" x14ac:dyDescent="0.25">
      <c r="A4864" t="str">
        <f>"0611834312100"</f>
        <v>0611834312100</v>
      </c>
      <c r="B4864" t="str">
        <f>"LF0029"</f>
        <v>LF0029</v>
      </c>
      <c r="C4864" t="s">
        <v>4769</v>
      </c>
    </row>
    <row r="4865" spans="1:3" x14ac:dyDescent="0.25">
      <c r="A4865" t="str">
        <f>"0611834313100"</f>
        <v>0611834313100</v>
      </c>
      <c r="B4865" t="str">
        <f>"LF2628"</f>
        <v>LF2628</v>
      </c>
      <c r="C4865" t="s">
        <v>4770</v>
      </c>
    </row>
    <row r="4866" spans="1:3" x14ac:dyDescent="0.25">
      <c r="A4866" t="str">
        <f>"0611834314100"</f>
        <v>0611834314100</v>
      </c>
      <c r="B4866" t="str">
        <f>"LF0030"</f>
        <v>LF0030</v>
      </c>
      <c r="C4866" t="s">
        <v>4771</v>
      </c>
    </row>
    <row r="4867" spans="1:3" x14ac:dyDescent="0.25">
      <c r="A4867" t="str">
        <f>"0611834315100"</f>
        <v>0611834315100</v>
      </c>
      <c r="B4867" t="str">
        <f>"LF0031"</f>
        <v>LF0031</v>
      </c>
      <c r="C4867" t="s">
        <v>4772</v>
      </c>
    </row>
    <row r="4868" spans="1:3" x14ac:dyDescent="0.25">
      <c r="A4868" t="str">
        <f>"0611834316100"</f>
        <v>0611834316100</v>
      </c>
      <c r="B4868" t="str">
        <f>"LG0995"</f>
        <v>LG0995</v>
      </c>
      <c r="C4868" t="s">
        <v>4773</v>
      </c>
    </row>
    <row r="4869" spans="1:3" x14ac:dyDescent="0.25">
      <c r="A4869" t="str">
        <f>"0611834317100"</f>
        <v>0611834317100</v>
      </c>
      <c r="B4869" t="str">
        <f>"MB2580"</f>
        <v>MB2580</v>
      </c>
      <c r="C4869" t="s">
        <v>4774</v>
      </c>
    </row>
    <row r="4870" spans="1:3" x14ac:dyDescent="0.25">
      <c r="A4870" t="str">
        <f>"0611834321100"</f>
        <v>0611834321100</v>
      </c>
      <c r="B4870" t="str">
        <f>"LL8111"</f>
        <v>LL8111</v>
      </c>
      <c r="C4870" t="s">
        <v>4777</v>
      </c>
    </row>
    <row r="4871" spans="1:3" x14ac:dyDescent="0.25">
      <c r="A4871" t="str">
        <f>"0611834322100"</f>
        <v>0611834322100</v>
      </c>
      <c r="B4871" t="str">
        <f>"LL3840"</f>
        <v>LL3840</v>
      </c>
      <c r="C4871" t="s">
        <v>4778</v>
      </c>
    </row>
    <row r="4872" spans="1:3" x14ac:dyDescent="0.25">
      <c r="A4872" t="str">
        <f>"0611834323100"</f>
        <v>0611834323100</v>
      </c>
      <c r="B4872" t="str">
        <f>"LG2591"</f>
        <v>LG2591</v>
      </c>
      <c r="C4872" t="s">
        <v>4782</v>
      </c>
    </row>
    <row r="4873" spans="1:3" x14ac:dyDescent="0.25">
      <c r="A4873" t="str">
        <f>"0611834324100"</f>
        <v>0611834324100</v>
      </c>
      <c r="B4873" t="str">
        <f>"LL4856"</f>
        <v>LL4856</v>
      </c>
      <c r="C4873" t="s">
        <v>4779</v>
      </c>
    </row>
    <row r="4874" spans="1:3" x14ac:dyDescent="0.25">
      <c r="A4874" t="str">
        <f>"0611834325100"</f>
        <v>0611834325100</v>
      </c>
      <c r="B4874" t="str">
        <f>"LL4857"</f>
        <v>LL4857</v>
      </c>
      <c r="C4874" t="s">
        <v>4780</v>
      </c>
    </row>
    <row r="4875" spans="1:3" x14ac:dyDescent="0.25">
      <c r="A4875" t="str">
        <f>"0611834326100"</f>
        <v>0611834326100</v>
      </c>
      <c r="B4875" t="str">
        <f>"LH8021"</f>
        <v>LH8021</v>
      </c>
      <c r="C4875" t="s">
        <v>4781</v>
      </c>
    </row>
    <row r="4876" spans="1:3" x14ac:dyDescent="0.25">
      <c r="A4876" t="str">
        <f>"0611834329100"</f>
        <v>0611834329100</v>
      </c>
      <c r="B4876" t="str">
        <f>"LL8297"</f>
        <v>LL8297</v>
      </c>
      <c r="C4876" t="s">
        <v>4783</v>
      </c>
    </row>
    <row r="4877" spans="1:3" x14ac:dyDescent="0.25">
      <c r="A4877" t="str">
        <f>"0611834330100"</f>
        <v>0611834330100</v>
      </c>
      <c r="B4877" t="str">
        <f>"LH8020"</f>
        <v>LH8020</v>
      </c>
      <c r="C4877" t="s">
        <v>4784</v>
      </c>
    </row>
    <row r="4878" spans="1:3" x14ac:dyDescent="0.25">
      <c r="A4878" t="str">
        <f>"0611834331025"</f>
        <v>0611834331025</v>
      </c>
      <c r="B4878" t="str">
        <f>"MC0705"</f>
        <v>MC0705</v>
      </c>
      <c r="C4878" t="s">
        <v>4785</v>
      </c>
    </row>
    <row r="4879" spans="1:3" x14ac:dyDescent="0.25">
      <c r="A4879" t="str">
        <f>"0611834332100"</f>
        <v>0611834332100</v>
      </c>
      <c r="B4879" t="str">
        <f>"LL8112"</f>
        <v>LL8112</v>
      </c>
      <c r="C4879" t="s">
        <v>4786</v>
      </c>
    </row>
    <row r="4880" spans="1:3" x14ac:dyDescent="0.25">
      <c r="A4880" t="str">
        <f>"0611834334100"</f>
        <v>0611834334100</v>
      </c>
      <c r="B4880" t="str">
        <f>"LL8113"</f>
        <v>LL8113</v>
      </c>
      <c r="C4880" t="s">
        <v>4787</v>
      </c>
    </row>
    <row r="4881" spans="1:3" x14ac:dyDescent="0.25">
      <c r="A4881" t="str">
        <f>"0611834335100"</f>
        <v>0611834335100</v>
      </c>
      <c r="B4881" t="str">
        <f>"LL3841"</f>
        <v>LL3841</v>
      </c>
      <c r="C4881" t="s">
        <v>4788</v>
      </c>
    </row>
    <row r="4882" spans="1:3" x14ac:dyDescent="0.25">
      <c r="A4882" t="str">
        <f>"0611834336100"</f>
        <v>0611834336100</v>
      </c>
      <c r="B4882" t="str">
        <f>"LL8114"</f>
        <v>LL8114</v>
      </c>
      <c r="C4882" t="s">
        <v>4789</v>
      </c>
    </row>
    <row r="4883" spans="1:3" x14ac:dyDescent="0.25">
      <c r="A4883" t="str">
        <f>"0611834337100"</f>
        <v>0611834337100</v>
      </c>
      <c r="B4883" t="str">
        <f>"LH8023"</f>
        <v>LH8023</v>
      </c>
      <c r="C4883" t="s">
        <v>4790</v>
      </c>
    </row>
    <row r="4884" spans="1:3" x14ac:dyDescent="0.25">
      <c r="A4884" t="str">
        <f>"0611834339100"</f>
        <v>0611834339100</v>
      </c>
      <c r="B4884" t="str">
        <f>"LL4844"</f>
        <v>LL4844</v>
      </c>
      <c r="C4884" t="s">
        <v>4791</v>
      </c>
    </row>
    <row r="4885" spans="1:3" x14ac:dyDescent="0.25">
      <c r="A4885" t="str">
        <f>"0611834340100"</f>
        <v>0611834340100</v>
      </c>
      <c r="B4885" t="str">
        <f>"LL8115"</f>
        <v>LL8115</v>
      </c>
      <c r="C4885" t="s">
        <v>4792</v>
      </c>
    </row>
    <row r="4886" spans="1:3" x14ac:dyDescent="0.25">
      <c r="A4886" t="str">
        <f>"0611834341100"</f>
        <v>0611834341100</v>
      </c>
      <c r="B4886" t="str">
        <f>"LL8116"</f>
        <v>LL8116</v>
      </c>
      <c r="C4886" t="s">
        <v>4793</v>
      </c>
    </row>
    <row r="4887" spans="1:3" x14ac:dyDescent="0.25">
      <c r="A4887" t="str">
        <f>"0611834342100"</f>
        <v>0611834342100</v>
      </c>
      <c r="B4887" t="str">
        <f>"LL8242"</f>
        <v>LL8242</v>
      </c>
      <c r="C4887" t="s">
        <v>4794</v>
      </c>
    </row>
    <row r="4888" spans="1:3" x14ac:dyDescent="0.25">
      <c r="A4888" t="str">
        <f>"0611834343100"</f>
        <v>0611834343100</v>
      </c>
      <c r="B4888" t="str">
        <f>"LH8035"</f>
        <v>LH8035</v>
      </c>
      <c r="C4888" t="s">
        <v>4795</v>
      </c>
    </row>
    <row r="4889" spans="1:3" x14ac:dyDescent="0.25">
      <c r="A4889" t="str">
        <f>"0611834344100"</f>
        <v>0611834344100</v>
      </c>
      <c r="B4889" t="str">
        <f>"LH0026"</f>
        <v>LH0026</v>
      </c>
      <c r="C4889" t="s">
        <v>4796</v>
      </c>
    </row>
    <row r="4890" spans="1:3" x14ac:dyDescent="0.25">
      <c r="A4890" t="str">
        <f>"0611834345100"</f>
        <v>0611834345100</v>
      </c>
      <c r="B4890" t="str">
        <f>"LL8117"</f>
        <v>LL8117</v>
      </c>
      <c r="C4890" t="s">
        <v>4797</v>
      </c>
    </row>
    <row r="4891" spans="1:3" x14ac:dyDescent="0.25">
      <c r="A4891" t="str">
        <f>"0611834346100"</f>
        <v>0611834346100</v>
      </c>
      <c r="B4891" t="str">
        <f>"LH8022"</f>
        <v>LH8022</v>
      </c>
      <c r="C4891" t="s">
        <v>4798</v>
      </c>
    </row>
    <row r="4892" spans="1:3" x14ac:dyDescent="0.25">
      <c r="A4892" t="str">
        <f>"0611834347100"</f>
        <v>0611834347100</v>
      </c>
      <c r="B4892" t="str">
        <f>"LL3842"</f>
        <v>LL3842</v>
      </c>
      <c r="C4892" t="s">
        <v>4799</v>
      </c>
    </row>
    <row r="4893" spans="1:3" x14ac:dyDescent="0.25">
      <c r="A4893" t="str">
        <f>"0611862005050"</f>
        <v>0611862005050</v>
      </c>
      <c r="B4893" t="str">
        <f>"CR2637"</f>
        <v>CR2637</v>
      </c>
      <c r="C4893" t="s">
        <v>4800</v>
      </c>
    </row>
    <row r="4894" spans="1:3" x14ac:dyDescent="0.25">
      <c r="A4894" t="str">
        <f>"0611862013050"</f>
        <v>0611862013050</v>
      </c>
      <c r="B4894" t="str">
        <f>"CR3715"</f>
        <v>CR3715</v>
      </c>
      <c r="C4894" t="s">
        <v>4808</v>
      </c>
    </row>
    <row r="4895" spans="1:3" x14ac:dyDescent="0.25">
      <c r="A4895" t="str">
        <f>"0611862006050"</f>
        <v>0611862006050</v>
      </c>
      <c r="B4895" t="str">
        <f>"CR2207"</f>
        <v>CR2207</v>
      </c>
      <c r="C4895" t="s">
        <v>4801</v>
      </c>
    </row>
    <row r="4896" spans="1:3" x14ac:dyDescent="0.25">
      <c r="A4896" t="str">
        <f>"0611862014050"</f>
        <v>0611862014050</v>
      </c>
      <c r="B4896" t="str">
        <f>"CR3682"</f>
        <v>CR3682</v>
      </c>
      <c r="C4896" t="s">
        <v>4809</v>
      </c>
    </row>
    <row r="4897" spans="1:3" x14ac:dyDescent="0.25">
      <c r="A4897" t="str">
        <f>"0611862007050"</f>
        <v>0611862007050</v>
      </c>
      <c r="B4897" t="str">
        <f>"CR3307"</f>
        <v>CR3307</v>
      </c>
      <c r="C4897" t="s">
        <v>4802</v>
      </c>
    </row>
    <row r="4898" spans="1:3" x14ac:dyDescent="0.25">
      <c r="A4898" t="str">
        <f>"0611862008050"</f>
        <v>0611862008050</v>
      </c>
      <c r="B4898" t="str">
        <f>"CR2209"</f>
        <v>CR2209</v>
      </c>
      <c r="C4898" t="s">
        <v>4803</v>
      </c>
    </row>
    <row r="4899" spans="1:3" x14ac:dyDescent="0.25">
      <c r="A4899" t="str">
        <f>"0611862009050"</f>
        <v>0611862009050</v>
      </c>
      <c r="B4899" t="str">
        <f>"CR2204"</f>
        <v>CR2204</v>
      </c>
      <c r="C4899" t="s">
        <v>4804</v>
      </c>
    </row>
    <row r="4900" spans="1:3" x14ac:dyDescent="0.25">
      <c r="A4900" t="str">
        <f>"0611862015050"</f>
        <v>0611862015050</v>
      </c>
      <c r="B4900" t="str">
        <f>"CR2208"</f>
        <v>CR2208</v>
      </c>
      <c r="C4900" t="s">
        <v>4810</v>
      </c>
    </row>
    <row r="4901" spans="1:3" x14ac:dyDescent="0.25">
      <c r="A4901" t="str">
        <f>"0611862016050"</f>
        <v>0611862016050</v>
      </c>
      <c r="B4901" t="str">
        <f>"CR4767"</f>
        <v>CR4767</v>
      </c>
      <c r="C4901" t="s">
        <v>4811</v>
      </c>
    </row>
    <row r="4902" spans="1:3" x14ac:dyDescent="0.25">
      <c r="A4902" t="str">
        <f>"0611862010050"</f>
        <v>0611862010050</v>
      </c>
      <c r="B4902" t="str">
        <f>"CR2638"</f>
        <v>CR2638</v>
      </c>
      <c r="C4902" t="s">
        <v>4805</v>
      </c>
    </row>
    <row r="4903" spans="1:3" x14ac:dyDescent="0.25">
      <c r="A4903" t="str">
        <f>"0611862018050"</f>
        <v>0611862018050</v>
      </c>
      <c r="B4903" t="str">
        <f>"CR3683"</f>
        <v>CR3683</v>
      </c>
      <c r="C4903" t="s">
        <v>4812</v>
      </c>
    </row>
    <row r="4904" spans="1:3" x14ac:dyDescent="0.25">
      <c r="A4904" t="str">
        <f>"0611862011050"</f>
        <v>0611862011050</v>
      </c>
      <c r="B4904" t="str">
        <f>"CR2205"</f>
        <v>CR2205</v>
      </c>
      <c r="C4904" t="s">
        <v>4806</v>
      </c>
    </row>
    <row r="4905" spans="1:3" x14ac:dyDescent="0.25">
      <c r="A4905" t="str">
        <f>"0611862012050"</f>
        <v>0611862012050</v>
      </c>
      <c r="B4905" t="str">
        <f>"CR2206"</f>
        <v>CR2206</v>
      </c>
      <c r="C4905" t="s">
        <v>4807</v>
      </c>
    </row>
    <row r="4906" spans="1:3" x14ac:dyDescent="0.25">
      <c r="A4906" t="str">
        <f>"0611862020050"</f>
        <v>0611862020050</v>
      </c>
      <c r="B4906" t="str">
        <f>"CR2822"</f>
        <v>CR2822</v>
      </c>
      <c r="C4906" t="s">
        <v>4813</v>
      </c>
    </row>
    <row r="4907" spans="1:3" x14ac:dyDescent="0.25">
      <c r="A4907" t="str">
        <f>"0611834351100"</f>
        <v>0611834351100</v>
      </c>
      <c r="B4907" t="str">
        <f>"LK3757"</f>
        <v>LK3757</v>
      </c>
      <c r="C4907" t="s">
        <v>4814</v>
      </c>
    </row>
    <row r="4908" spans="1:3" x14ac:dyDescent="0.25">
      <c r="A4908" t="str">
        <f>"0611862021050"</f>
        <v>0611862021050</v>
      </c>
      <c r="B4908" t="str">
        <f>"CR2944"</f>
        <v>CR2944</v>
      </c>
      <c r="C4908" t="s">
        <v>4815</v>
      </c>
    </row>
    <row r="4909" spans="1:3" x14ac:dyDescent="0.25">
      <c r="A4909" t="str">
        <f>"0611884213050"</f>
        <v>0611884213050</v>
      </c>
      <c r="B4909" t="str">
        <f>"CR5337"</f>
        <v>CR5337</v>
      </c>
      <c r="C4909" t="s">
        <v>4816</v>
      </c>
    </row>
    <row r="4910" spans="1:3" x14ac:dyDescent="0.25">
      <c r="A4910" t="str">
        <f>"0611884214050"</f>
        <v>0611884214050</v>
      </c>
      <c r="B4910" t="str">
        <f>"CR5344"</f>
        <v>CR5344</v>
      </c>
      <c r="C4910" t="s">
        <v>4817</v>
      </c>
    </row>
    <row r="4911" spans="1:3" x14ac:dyDescent="0.25">
      <c r="A4911" t="str">
        <f>"0611906566050"</f>
        <v>0611906566050</v>
      </c>
      <c r="B4911" t="str">
        <f>"CR5490"</f>
        <v>CR5490</v>
      </c>
      <c r="C4911" t="s">
        <v>4818</v>
      </c>
    </row>
    <row r="4912" spans="1:3" x14ac:dyDescent="0.25">
      <c r="A4912" t="str">
        <f>"0611884215050"</f>
        <v>0611884215050</v>
      </c>
      <c r="B4912" t="str">
        <f>"CR5363"</f>
        <v>CR5363</v>
      </c>
      <c r="C4912" t="s">
        <v>4819</v>
      </c>
    </row>
    <row r="4913" spans="1:3" x14ac:dyDescent="0.25">
      <c r="A4913" t="str">
        <f>"0611884216050"</f>
        <v>0611884216050</v>
      </c>
      <c r="B4913" t="str">
        <f>"CR5364"</f>
        <v>CR5364</v>
      </c>
      <c r="C4913" t="s">
        <v>4820</v>
      </c>
    </row>
    <row r="4914" spans="1:3" x14ac:dyDescent="0.25">
      <c r="A4914" t="str">
        <f>"0611906567050"</f>
        <v>0611906567050</v>
      </c>
      <c r="B4914" t="str">
        <f>"CR5491"</f>
        <v>CR5491</v>
      </c>
      <c r="C4914" t="s">
        <v>4821</v>
      </c>
    </row>
    <row r="4915" spans="1:3" x14ac:dyDescent="0.25">
      <c r="A4915" t="str">
        <f>"0611884217050"</f>
        <v>0611884217050</v>
      </c>
      <c r="B4915" t="str">
        <f>"CR5365"</f>
        <v>CR5365</v>
      </c>
      <c r="C4915" t="s">
        <v>4822</v>
      </c>
    </row>
    <row r="4916" spans="1:3" x14ac:dyDescent="0.25">
      <c r="A4916" t="str">
        <f>"0611906568050"</f>
        <v>0611906568050</v>
      </c>
      <c r="B4916" t="str">
        <f>"CR5492"</f>
        <v>CR5492</v>
      </c>
      <c r="C4916" t="s">
        <v>4823</v>
      </c>
    </row>
    <row r="4917" spans="1:3" x14ac:dyDescent="0.25">
      <c r="A4917" t="str">
        <f>"0611884218050"</f>
        <v>0611884218050</v>
      </c>
      <c r="B4917" t="str">
        <f>"CR5327"</f>
        <v>CR5327</v>
      </c>
      <c r="C4917" t="s">
        <v>4824</v>
      </c>
    </row>
    <row r="4918" spans="1:3" x14ac:dyDescent="0.25">
      <c r="A4918" t="str">
        <f>"0611884219050"</f>
        <v>0611884219050</v>
      </c>
      <c r="B4918" t="str">
        <f>"CR5328"</f>
        <v>CR5328</v>
      </c>
      <c r="C4918" t="s">
        <v>4825</v>
      </c>
    </row>
    <row r="4919" spans="1:3" x14ac:dyDescent="0.25">
      <c r="A4919" t="str">
        <f>"0611884220050"</f>
        <v>0611884220050</v>
      </c>
      <c r="B4919" t="str">
        <f>"CR5329"</f>
        <v>CR5329</v>
      </c>
      <c r="C4919" t="s">
        <v>4826</v>
      </c>
    </row>
    <row r="4920" spans="1:3" x14ac:dyDescent="0.25">
      <c r="A4920" t="str">
        <f>"0611834352100"</f>
        <v>0611834352100</v>
      </c>
      <c r="B4920" t="str">
        <f>"LK4571"</f>
        <v>LK4571</v>
      </c>
      <c r="C4920" t="s">
        <v>4827</v>
      </c>
    </row>
    <row r="4921" spans="1:3" x14ac:dyDescent="0.25">
      <c r="A4921" t="str">
        <f>"0611834354100"</f>
        <v>0611834354100</v>
      </c>
      <c r="B4921" t="str">
        <f>"LK6744"</f>
        <v>LK6744</v>
      </c>
      <c r="C4921" t="s">
        <v>4828</v>
      </c>
    </row>
    <row r="4922" spans="1:3" x14ac:dyDescent="0.25">
      <c r="A4922" t="str">
        <f>"0611834355100"</f>
        <v>0611834355100</v>
      </c>
      <c r="B4922" t="str">
        <f>"LK3213"</f>
        <v>LK3213</v>
      </c>
      <c r="C4922" t="s">
        <v>4829</v>
      </c>
    </row>
    <row r="4923" spans="1:3" x14ac:dyDescent="0.25">
      <c r="A4923" t="str">
        <f>"0611834357100"</f>
        <v>0611834357100</v>
      </c>
      <c r="B4923" t="str">
        <f>"LB2701"</f>
        <v>LB2701</v>
      </c>
      <c r="C4923" t="s">
        <v>4830</v>
      </c>
    </row>
    <row r="4924" spans="1:3" x14ac:dyDescent="0.25">
      <c r="A4924" t="str">
        <f>"0611834358100"</f>
        <v>0611834358100</v>
      </c>
      <c r="B4924" t="str">
        <f>"LQ0337"</f>
        <v>LQ0337</v>
      </c>
      <c r="C4924" t="s">
        <v>4831</v>
      </c>
    </row>
    <row r="4925" spans="1:3" x14ac:dyDescent="0.25">
      <c r="A4925" t="str">
        <f>"0611834360100"</f>
        <v>0611834360100</v>
      </c>
      <c r="B4925" t="str">
        <f>"LB2672"</f>
        <v>LB2672</v>
      </c>
      <c r="C4925" t="s">
        <v>4832</v>
      </c>
    </row>
    <row r="4926" spans="1:3" x14ac:dyDescent="0.25">
      <c r="A4926" t="str">
        <f>"0611862022050"</f>
        <v>0611862022050</v>
      </c>
      <c r="B4926" t="str">
        <f>"CR3531"</f>
        <v>CR3531</v>
      </c>
      <c r="C4926" t="s">
        <v>4833</v>
      </c>
    </row>
    <row r="4927" spans="1:3" x14ac:dyDescent="0.25">
      <c r="A4927" t="str">
        <f>"0611862035050"</f>
        <v>0611862035050</v>
      </c>
      <c r="B4927" t="str">
        <f>"CR2219"</f>
        <v>CR2219</v>
      </c>
      <c r="C4927" t="s">
        <v>4886</v>
      </c>
    </row>
    <row r="4928" spans="1:3" x14ac:dyDescent="0.25">
      <c r="A4928" t="str">
        <f>"0611862023050"</f>
        <v>0611862023050</v>
      </c>
      <c r="B4928" t="str">
        <f>"CR2930"</f>
        <v>CR2930</v>
      </c>
      <c r="C4928" t="s">
        <v>4834</v>
      </c>
    </row>
    <row r="4929" spans="1:3" x14ac:dyDescent="0.25">
      <c r="A4929" t="str">
        <f>"0611834364100"</f>
        <v>0611834364100</v>
      </c>
      <c r="B4929" t="str">
        <f>"LQ3222"</f>
        <v>LQ3222</v>
      </c>
      <c r="C4929" t="s">
        <v>4835</v>
      </c>
    </row>
    <row r="4930" spans="1:3" x14ac:dyDescent="0.25">
      <c r="A4930" t="str">
        <f>"0611834366100"</f>
        <v>0611834366100</v>
      </c>
      <c r="B4930" t="str">
        <f>"LQ3224"</f>
        <v>LQ3224</v>
      </c>
      <c r="C4930" t="s">
        <v>4836</v>
      </c>
    </row>
    <row r="4931" spans="1:3" x14ac:dyDescent="0.25">
      <c r="A4931" t="str">
        <f>"0611834367100"</f>
        <v>0611834367100</v>
      </c>
      <c r="B4931" t="str">
        <f>"LQ3225"</f>
        <v>LQ3225</v>
      </c>
      <c r="C4931" t="s">
        <v>4837</v>
      </c>
    </row>
    <row r="4932" spans="1:3" x14ac:dyDescent="0.25">
      <c r="A4932" t="str">
        <f>"0611834368100"</f>
        <v>0611834368100</v>
      </c>
      <c r="B4932" t="str">
        <f>"LB2651"</f>
        <v>LB2651</v>
      </c>
      <c r="C4932" t="s">
        <v>4838</v>
      </c>
    </row>
    <row r="4933" spans="1:3" x14ac:dyDescent="0.25">
      <c r="A4933" t="str">
        <f>"0611862024050"</f>
        <v>0611862024050</v>
      </c>
      <c r="B4933" t="str">
        <f>"CR2210"</f>
        <v>CR2210</v>
      </c>
      <c r="C4933" t="s">
        <v>4839</v>
      </c>
    </row>
    <row r="4934" spans="1:3" x14ac:dyDescent="0.25">
      <c r="A4934" t="str">
        <f>"0611834369100"</f>
        <v>0611834369100</v>
      </c>
      <c r="B4934" t="str">
        <f>"LK3741"</f>
        <v>LK3741</v>
      </c>
      <c r="C4934" t="s">
        <v>4840</v>
      </c>
    </row>
    <row r="4935" spans="1:3" x14ac:dyDescent="0.25">
      <c r="A4935" t="str">
        <f>"0611834370100"</f>
        <v>0611834370100</v>
      </c>
      <c r="B4935" t="str">
        <f>"LK4977"</f>
        <v>LK4977</v>
      </c>
      <c r="C4935" t="s">
        <v>4841</v>
      </c>
    </row>
    <row r="4936" spans="1:3" x14ac:dyDescent="0.25">
      <c r="A4936" t="str">
        <f>"0611834372100"</f>
        <v>0611834372100</v>
      </c>
      <c r="B4936" t="str">
        <f>"LB2653"</f>
        <v>LB2653</v>
      </c>
      <c r="C4936" t="s">
        <v>4842</v>
      </c>
    </row>
    <row r="4937" spans="1:3" x14ac:dyDescent="0.25">
      <c r="A4937" t="str">
        <f>"0611862025050"</f>
        <v>0611862025050</v>
      </c>
      <c r="B4937" t="str">
        <f>"CR2211"</f>
        <v>CR2211</v>
      </c>
      <c r="C4937" t="s">
        <v>4843</v>
      </c>
    </row>
    <row r="4938" spans="1:3" x14ac:dyDescent="0.25">
      <c r="A4938" t="str">
        <f>"0611862026050"</f>
        <v>0611862026050</v>
      </c>
      <c r="B4938" t="str">
        <f>"CR3182"</f>
        <v>CR3182</v>
      </c>
      <c r="C4938" t="s">
        <v>4844</v>
      </c>
    </row>
    <row r="4939" spans="1:3" x14ac:dyDescent="0.25">
      <c r="A4939" t="str">
        <f>"0611862027050"</f>
        <v>0611862027050</v>
      </c>
      <c r="B4939" t="str">
        <f>"CR2212"</f>
        <v>CR2212</v>
      </c>
      <c r="C4939" t="s">
        <v>4845</v>
      </c>
    </row>
    <row r="4940" spans="1:3" x14ac:dyDescent="0.25">
      <c r="A4940" t="str">
        <f>"0611834374100"</f>
        <v>0611834374100</v>
      </c>
      <c r="B4940" t="str">
        <f>"LK4978"</f>
        <v>LK4978</v>
      </c>
      <c r="C4940" t="s">
        <v>4846</v>
      </c>
    </row>
    <row r="4941" spans="1:3" x14ac:dyDescent="0.25">
      <c r="A4941" t="str">
        <f>"0611834375100"</f>
        <v>0611834375100</v>
      </c>
      <c r="B4941" t="str">
        <f>"LK5678"</f>
        <v>LK5678</v>
      </c>
      <c r="C4941" t="s">
        <v>4847</v>
      </c>
    </row>
    <row r="4942" spans="1:3" x14ac:dyDescent="0.25">
      <c r="A4942" t="str">
        <f>"0611862040050"</f>
        <v>0611862040050</v>
      </c>
      <c r="B4942" t="str">
        <f>"CR2955"</f>
        <v>CR2955</v>
      </c>
      <c r="C4942" t="s">
        <v>4892</v>
      </c>
    </row>
    <row r="4943" spans="1:3" x14ac:dyDescent="0.25">
      <c r="A4943" t="str">
        <f>"0611834377100"</f>
        <v>0611834377100</v>
      </c>
      <c r="B4943" t="str">
        <f>"LK3759"</f>
        <v>LK3759</v>
      </c>
      <c r="C4943" t="s">
        <v>4848</v>
      </c>
    </row>
    <row r="4944" spans="1:3" x14ac:dyDescent="0.25">
      <c r="A4944" t="str">
        <f>"0611834380100"</f>
        <v>0611834380100</v>
      </c>
      <c r="B4944" t="str">
        <f>"LB2605"</f>
        <v>LB2605</v>
      </c>
      <c r="C4944" t="s">
        <v>4849</v>
      </c>
    </row>
    <row r="4945" spans="1:3" x14ac:dyDescent="0.25">
      <c r="A4945" t="str">
        <f>"0611862041050"</f>
        <v>0611862041050</v>
      </c>
      <c r="B4945" t="str">
        <f>"CR2956"</f>
        <v>CR2956</v>
      </c>
      <c r="C4945" t="s">
        <v>4893</v>
      </c>
    </row>
    <row r="4946" spans="1:3" x14ac:dyDescent="0.25">
      <c r="A4946" t="str">
        <f>"0611834378100"</f>
        <v>0611834378100</v>
      </c>
      <c r="B4946" t="str">
        <f>"MB2610"</f>
        <v>MB2610</v>
      </c>
      <c r="C4946" t="s">
        <v>4850</v>
      </c>
    </row>
    <row r="4947" spans="1:3" x14ac:dyDescent="0.25">
      <c r="A4947" t="str">
        <f>"0611834379100"</f>
        <v>0611834379100</v>
      </c>
      <c r="B4947" t="str">
        <f>"LB2697"</f>
        <v>LB2697</v>
      </c>
      <c r="C4947" t="s">
        <v>4851</v>
      </c>
    </row>
    <row r="4948" spans="1:3" x14ac:dyDescent="0.25">
      <c r="A4948" t="str">
        <f>"0611862028050"</f>
        <v>0611862028050</v>
      </c>
      <c r="B4948" t="str">
        <f>"CR2213"</f>
        <v>CR2213</v>
      </c>
      <c r="C4948" t="s">
        <v>4852</v>
      </c>
    </row>
    <row r="4949" spans="1:3" x14ac:dyDescent="0.25">
      <c r="A4949" t="str">
        <f>"0611834387100"</f>
        <v>0611834387100</v>
      </c>
      <c r="B4949" t="str">
        <f>"LK4980"</f>
        <v>LK4980</v>
      </c>
      <c r="C4949" t="s">
        <v>4853</v>
      </c>
    </row>
    <row r="4950" spans="1:3" x14ac:dyDescent="0.25">
      <c r="A4950" t="str">
        <f>"0611834390100"</f>
        <v>0611834390100</v>
      </c>
      <c r="B4950" t="str">
        <f>"LB2700"</f>
        <v>LB2700</v>
      </c>
      <c r="C4950" t="s">
        <v>4854</v>
      </c>
    </row>
    <row r="4951" spans="1:3" x14ac:dyDescent="0.25">
      <c r="A4951" t="str">
        <f>"0611834393100"</f>
        <v>0611834393100</v>
      </c>
      <c r="B4951" t="str">
        <f>"LK3256"</f>
        <v>LK3256</v>
      </c>
      <c r="C4951" t="s">
        <v>4855</v>
      </c>
    </row>
    <row r="4952" spans="1:3" x14ac:dyDescent="0.25">
      <c r="A4952" t="str">
        <f>"0611834394100"</f>
        <v>0611834394100</v>
      </c>
      <c r="B4952" t="str">
        <f>"LK3760"</f>
        <v>LK3760</v>
      </c>
      <c r="C4952" t="s">
        <v>4856</v>
      </c>
    </row>
    <row r="4953" spans="1:3" x14ac:dyDescent="0.25">
      <c r="A4953" t="str">
        <f>"0611862029050"</f>
        <v>0611862029050</v>
      </c>
      <c r="B4953" t="str">
        <f>"CR2214"</f>
        <v>CR2214</v>
      </c>
      <c r="C4953" t="s">
        <v>4857</v>
      </c>
    </row>
    <row r="4954" spans="1:3" x14ac:dyDescent="0.25">
      <c r="A4954" t="str">
        <f>"0611834395100"</f>
        <v>0611834395100</v>
      </c>
      <c r="B4954" t="str">
        <f>"LB2654"</f>
        <v>LB2654</v>
      </c>
      <c r="C4954" t="s">
        <v>4858</v>
      </c>
    </row>
    <row r="4955" spans="1:3" x14ac:dyDescent="0.25">
      <c r="A4955" t="str">
        <f>"0611862036050"</f>
        <v>0611862036050</v>
      </c>
      <c r="B4955" t="str">
        <f>"CR2951"</f>
        <v>CR2951</v>
      </c>
      <c r="C4955" t="s">
        <v>4888</v>
      </c>
    </row>
    <row r="4956" spans="1:3" x14ac:dyDescent="0.25">
      <c r="A4956" t="str">
        <f>"0611834397100"</f>
        <v>0611834397100</v>
      </c>
      <c r="B4956" t="str">
        <f>"LB2655"</f>
        <v>LB2655</v>
      </c>
      <c r="C4956" t="s">
        <v>4859</v>
      </c>
    </row>
    <row r="4957" spans="1:3" x14ac:dyDescent="0.25">
      <c r="A4957" t="str">
        <f>"0611862037050"</f>
        <v>0611862037050</v>
      </c>
      <c r="B4957" t="str">
        <f>"CR2952"</f>
        <v>CR2952</v>
      </c>
      <c r="C4957" t="s">
        <v>4889</v>
      </c>
    </row>
    <row r="4958" spans="1:3" x14ac:dyDescent="0.25">
      <c r="A4958" t="str">
        <f>"0611834398100"</f>
        <v>0611834398100</v>
      </c>
      <c r="B4958" t="str">
        <f>"LK3742"</f>
        <v>LK3742</v>
      </c>
      <c r="C4958" t="s">
        <v>4860</v>
      </c>
    </row>
    <row r="4959" spans="1:3" x14ac:dyDescent="0.25">
      <c r="A4959" t="str">
        <f>"0611834399100"</f>
        <v>0611834399100</v>
      </c>
      <c r="B4959" t="str">
        <f>"LB2696"</f>
        <v>LB2696</v>
      </c>
      <c r="C4959" t="s">
        <v>4861</v>
      </c>
    </row>
    <row r="4960" spans="1:3" x14ac:dyDescent="0.25">
      <c r="A4960" t="str">
        <f>"0611862030050"</f>
        <v>0611862030050</v>
      </c>
      <c r="B4960" t="str">
        <f>"CR3532"</f>
        <v>CR3532</v>
      </c>
      <c r="C4960" t="s">
        <v>4862</v>
      </c>
    </row>
    <row r="4961" spans="1:3" x14ac:dyDescent="0.25">
      <c r="A4961" t="str">
        <f>"0611834401100"</f>
        <v>0611834401100</v>
      </c>
      <c r="B4961" t="str">
        <f>"LK4985"</f>
        <v>LK4985</v>
      </c>
      <c r="C4961" t="s">
        <v>4863</v>
      </c>
    </row>
    <row r="4962" spans="1:3" x14ac:dyDescent="0.25">
      <c r="A4962" t="str">
        <f>"0611834402100"</f>
        <v>0611834402100</v>
      </c>
      <c r="B4962" t="str">
        <f>"LK4598"</f>
        <v>LK4598</v>
      </c>
      <c r="C4962" t="s">
        <v>4864</v>
      </c>
    </row>
    <row r="4963" spans="1:3" x14ac:dyDescent="0.25">
      <c r="A4963" t="str">
        <f>"0611834403100"</f>
        <v>0611834403100</v>
      </c>
      <c r="B4963" t="str">
        <f>"LK3753"</f>
        <v>LK3753</v>
      </c>
      <c r="C4963" t="s">
        <v>4865</v>
      </c>
    </row>
    <row r="4964" spans="1:3" x14ac:dyDescent="0.25">
      <c r="A4964" t="str">
        <f>"0611862031050"</f>
        <v>0611862031050</v>
      </c>
      <c r="B4964" t="str">
        <f>"CR2215"</f>
        <v>CR2215</v>
      </c>
      <c r="C4964" t="s">
        <v>4866</v>
      </c>
    </row>
    <row r="4965" spans="1:3" x14ac:dyDescent="0.25">
      <c r="A4965" t="str">
        <f>"0611834404100"</f>
        <v>0611834404100</v>
      </c>
      <c r="B4965" t="str">
        <f>"LK4599"</f>
        <v>LK4599</v>
      </c>
      <c r="C4965" t="s">
        <v>4867</v>
      </c>
    </row>
    <row r="4966" spans="1:3" x14ac:dyDescent="0.25">
      <c r="A4966" t="str">
        <f>"0611834405100"</f>
        <v>0611834405100</v>
      </c>
      <c r="B4966" t="str">
        <f>"LK3761"</f>
        <v>LK3761</v>
      </c>
      <c r="C4966" t="s">
        <v>4868</v>
      </c>
    </row>
    <row r="4967" spans="1:3" x14ac:dyDescent="0.25">
      <c r="A4967" t="str">
        <f>"0611834406100"</f>
        <v>0611834406100</v>
      </c>
      <c r="B4967" t="str">
        <f>"LK3762"</f>
        <v>LK3762</v>
      </c>
      <c r="C4967" t="s">
        <v>4869</v>
      </c>
    </row>
    <row r="4968" spans="1:3" x14ac:dyDescent="0.25">
      <c r="A4968" t="str">
        <f>"0611834407100"</f>
        <v>0611834407100</v>
      </c>
      <c r="B4968" t="str">
        <f>"LB2692"</f>
        <v>LB2692</v>
      </c>
      <c r="C4968" t="s">
        <v>4870</v>
      </c>
    </row>
    <row r="4969" spans="1:3" x14ac:dyDescent="0.25">
      <c r="A4969" t="str">
        <f>"0611862038050"</f>
        <v>0611862038050</v>
      </c>
      <c r="B4969" t="str">
        <f>"CR2953"</f>
        <v>CR2953</v>
      </c>
      <c r="C4969" t="s">
        <v>4890</v>
      </c>
    </row>
    <row r="4970" spans="1:3" x14ac:dyDescent="0.25">
      <c r="A4970" t="str">
        <f>"0611834409100"</f>
        <v>0611834409100</v>
      </c>
      <c r="B4970" t="str">
        <f>"LK6007"</f>
        <v>LK6007</v>
      </c>
      <c r="C4970" t="s">
        <v>4871</v>
      </c>
    </row>
    <row r="4971" spans="1:3" x14ac:dyDescent="0.25">
      <c r="A4971" t="str">
        <f>"0611834410100"</f>
        <v>0611834410100</v>
      </c>
      <c r="B4971" t="str">
        <f>"LK3754"</f>
        <v>LK3754</v>
      </c>
      <c r="C4971" t="s">
        <v>4872</v>
      </c>
    </row>
    <row r="4972" spans="1:3" x14ac:dyDescent="0.25">
      <c r="A4972" t="str">
        <f>"0611834414100"</f>
        <v>0611834414100</v>
      </c>
      <c r="B4972" t="str">
        <f>"LK6008"</f>
        <v>LK6008</v>
      </c>
      <c r="C4972" t="s">
        <v>4873</v>
      </c>
    </row>
    <row r="4973" spans="1:3" x14ac:dyDescent="0.25">
      <c r="A4973" t="str">
        <f>"0611862032050"</f>
        <v>0611862032050</v>
      </c>
      <c r="B4973" t="str">
        <f>"CR4827"</f>
        <v>CR4827</v>
      </c>
      <c r="C4973" t="s">
        <v>4874</v>
      </c>
    </row>
    <row r="4974" spans="1:3" x14ac:dyDescent="0.25">
      <c r="A4974" t="str">
        <f>"0611834416100"</f>
        <v>0611834416100</v>
      </c>
      <c r="B4974" t="str">
        <f>"LB2657"</f>
        <v>LB2657</v>
      </c>
      <c r="C4974" t="s">
        <v>4875</v>
      </c>
    </row>
    <row r="4975" spans="1:3" x14ac:dyDescent="0.25">
      <c r="A4975" t="str">
        <f>"0611862033050"</f>
        <v>0611862033050</v>
      </c>
      <c r="B4975" t="str">
        <f>"CR2220"</f>
        <v>CR2220</v>
      </c>
      <c r="C4975" t="s">
        <v>4876</v>
      </c>
    </row>
    <row r="4976" spans="1:3" x14ac:dyDescent="0.25">
      <c r="A4976" t="str">
        <f>"0611834418100"</f>
        <v>0611834418100</v>
      </c>
      <c r="B4976" t="str">
        <f>"LQ3529"</f>
        <v>LQ3529</v>
      </c>
      <c r="C4976" t="s">
        <v>4877</v>
      </c>
    </row>
    <row r="4977" spans="1:3" x14ac:dyDescent="0.25">
      <c r="A4977" t="str">
        <f>"0611834419100"</f>
        <v>0611834419100</v>
      </c>
      <c r="B4977" t="str">
        <f>"LQ0076"</f>
        <v>LQ0076</v>
      </c>
      <c r="C4977" t="s">
        <v>4878</v>
      </c>
    </row>
    <row r="4978" spans="1:3" x14ac:dyDescent="0.25">
      <c r="A4978" t="str">
        <f>"0611834420100"</f>
        <v>0611834420100</v>
      </c>
      <c r="B4978" t="str">
        <f>"LQ0124"</f>
        <v>LQ0124</v>
      </c>
      <c r="C4978" t="s">
        <v>4879</v>
      </c>
    </row>
    <row r="4979" spans="1:3" x14ac:dyDescent="0.25">
      <c r="A4979" t="str">
        <f>"0611834422100"</f>
        <v>0611834422100</v>
      </c>
      <c r="B4979" t="str">
        <f>"LQ0040"</f>
        <v>LQ0040</v>
      </c>
      <c r="C4979" t="s">
        <v>4880</v>
      </c>
    </row>
    <row r="4980" spans="1:3" x14ac:dyDescent="0.25">
      <c r="A4980" t="str">
        <f>"0611834423100"</f>
        <v>0611834423100</v>
      </c>
      <c r="B4980" t="str">
        <f>"LQ0339"</f>
        <v>LQ0339</v>
      </c>
      <c r="C4980" t="s">
        <v>4881</v>
      </c>
    </row>
    <row r="4981" spans="1:3" x14ac:dyDescent="0.25">
      <c r="A4981" t="str">
        <f>"0611834424100"</f>
        <v>0611834424100</v>
      </c>
      <c r="B4981" t="str">
        <f>"LQ0380"</f>
        <v>LQ0380</v>
      </c>
      <c r="C4981" t="s">
        <v>4882</v>
      </c>
    </row>
    <row r="4982" spans="1:3" x14ac:dyDescent="0.25">
      <c r="A4982" t="str">
        <f>"0611834425100"</f>
        <v>0611834425100</v>
      </c>
      <c r="B4982" t="str">
        <f>"LQ0041"</f>
        <v>LQ0041</v>
      </c>
      <c r="C4982" t="s">
        <v>4883</v>
      </c>
    </row>
    <row r="4983" spans="1:3" x14ac:dyDescent="0.25">
      <c r="A4983" t="str">
        <f>"0611834426100"</f>
        <v>0611834426100</v>
      </c>
      <c r="B4983" t="str">
        <f>"LB2659"</f>
        <v>LB2659</v>
      </c>
      <c r="C4983" t="s">
        <v>4884</v>
      </c>
    </row>
    <row r="4984" spans="1:3" x14ac:dyDescent="0.25">
      <c r="A4984" t="str">
        <f>"0611862034050"</f>
        <v>0611862034050</v>
      </c>
      <c r="B4984" t="str">
        <f>"CR2218"</f>
        <v>CR2218</v>
      </c>
      <c r="C4984" t="s">
        <v>4885</v>
      </c>
    </row>
    <row r="4985" spans="1:3" x14ac:dyDescent="0.25">
      <c r="A4985" t="str">
        <f>"0611834429100"</f>
        <v>0611834429100</v>
      </c>
      <c r="B4985" t="str">
        <f>"LB2660"</f>
        <v>LB2660</v>
      </c>
      <c r="C4985" t="s">
        <v>4887</v>
      </c>
    </row>
    <row r="4986" spans="1:3" x14ac:dyDescent="0.25">
      <c r="A4986" t="str">
        <f>"0611834430100"</f>
        <v>0611834430100</v>
      </c>
      <c r="B4986" t="str">
        <f>"LB2665"</f>
        <v>LB2665</v>
      </c>
      <c r="C4986" t="s">
        <v>4894</v>
      </c>
    </row>
    <row r="4987" spans="1:3" x14ac:dyDescent="0.25">
      <c r="A4987" t="str">
        <f>"0611834432100"</f>
        <v>0611834432100</v>
      </c>
      <c r="B4987" t="str">
        <f>"LB2731"</f>
        <v>LB2731</v>
      </c>
      <c r="C4987" t="s">
        <v>4896</v>
      </c>
    </row>
    <row r="4988" spans="1:3" x14ac:dyDescent="0.25">
      <c r="A4988" t="str">
        <f>"0611862042050"</f>
        <v>0611862042050</v>
      </c>
      <c r="B4988" t="str">
        <f>"CR3534"</f>
        <v>CR3534</v>
      </c>
      <c r="C4988" t="s">
        <v>4895</v>
      </c>
    </row>
    <row r="4989" spans="1:3" x14ac:dyDescent="0.25">
      <c r="A4989" t="str">
        <f>"0611834433100"</f>
        <v>0611834433100</v>
      </c>
      <c r="B4989" t="str">
        <f>"LB2732"</f>
        <v>LB2732</v>
      </c>
      <c r="C4989" t="s">
        <v>4897</v>
      </c>
    </row>
    <row r="4990" spans="1:3" x14ac:dyDescent="0.25">
      <c r="A4990" t="str">
        <f>"0611862039050"</f>
        <v>0611862039050</v>
      </c>
      <c r="B4990" t="str">
        <f>"CR2954"</f>
        <v>CR2954</v>
      </c>
      <c r="C4990" t="s">
        <v>4891</v>
      </c>
    </row>
    <row r="4991" spans="1:3" x14ac:dyDescent="0.25">
      <c r="A4991" t="str">
        <f>"0611834434100"</f>
        <v>0611834434100</v>
      </c>
      <c r="B4991" t="str">
        <f>"LK6745"</f>
        <v>LK6745</v>
      </c>
      <c r="C4991" t="s">
        <v>4899</v>
      </c>
    </row>
    <row r="4992" spans="1:3" x14ac:dyDescent="0.25">
      <c r="A4992" t="str">
        <f>"0611834435100"</f>
        <v>0611834435100</v>
      </c>
      <c r="B4992" t="str">
        <f>"LK6746"</f>
        <v>LK6746</v>
      </c>
      <c r="C4992" t="s">
        <v>4900</v>
      </c>
    </row>
    <row r="4993" spans="1:3" x14ac:dyDescent="0.25">
      <c r="A4993" t="str">
        <f>"0611834436100"</f>
        <v>0611834436100</v>
      </c>
      <c r="B4993" t="str">
        <f>"LB2666"</f>
        <v>LB2666</v>
      </c>
      <c r="C4993" t="s">
        <v>4898</v>
      </c>
    </row>
    <row r="4994" spans="1:3" x14ac:dyDescent="0.25">
      <c r="A4994" t="str">
        <f>"0611834439025"</f>
        <v>0611834439025</v>
      </c>
      <c r="B4994" t="str">
        <f>"MC3509"</f>
        <v>MC3509</v>
      </c>
      <c r="C4994" t="s">
        <v>4901</v>
      </c>
    </row>
    <row r="4995" spans="1:3" x14ac:dyDescent="0.25">
      <c r="A4995" t="str">
        <f>"0611834440025"</f>
        <v>0611834440025</v>
      </c>
      <c r="B4995" t="str">
        <f>"MC3416"</f>
        <v>MC3416</v>
      </c>
      <c r="C4995" t="s">
        <v>4902</v>
      </c>
    </row>
    <row r="4996" spans="1:3" x14ac:dyDescent="0.25">
      <c r="A4996" t="str">
        <f>"0611834441025"</f>
        <v>0611834441025</v>
      </c>
      <c r="B4996" t="str">
        <f>"MC2425"</f>
        <v>MC2425</v>
      </c>
      <c r="C4996" t="s">
        <v>4903</v>
      </c>
    </row>
    <row r="4997" spans="1:3" x14ac:dyDescent="0.25">
      <c r="A4997" t="str">
        <f>"0611834442025"</f>
        <v>0611834442025</v>
      </c>
      <c r="B4997" t="str">
        <f>"MQ0573"</f>
        <v>MQ0573</v>
      </c>
      <c r="C4997" t="s">
        <v>4904</v>
      </c>
    </row>
    <row r="4998" spans="1:3" x14ac:dyDescent="0.25">
      <c r="A4998" t="str">
        <f>"0611834443025"</f>
        <v>0611834443025</v>
      </c>
      <c r="B4998" t="str">
        <f>"MQ0497"</f>
        <v>MQ0497</v>
      </c>
      <c r="C4998" t="s">
        <v>4905</v>
      </c>
    </row>
    <row r="4999" spans="1:3" x14ac:dyDescent="0.25">
      <c r="A4999" t="str">
        <f>"0611834444100"</f>
        <v>0611834444100</v>
      </c>
      <c r="B4999" t="str">
        <f>"LH4134"</f>
        <v>LH4134</v>
      </c>
      <c r="C4999" t="s">
        <v>4906</v>
      </c>
    </row>
    <row r="5000" spans="1:3" x14ac:dyDescent="0.25">
      <c r="A5000" t="str">
        <f>"0611862043100"</f>
        <v>0611862043100</v>
      </c>
      <c r="B5000" t="str">
        <f>"CN5179"</f>
        <v>CN5179</v>
      </c>
      <c r="C5000" t="s">
        <v>4907</v>
      </c>
    </row>
    <row r="5001" spans="1:3" x14ac:dyDescent="0.25">
      <c r="A5001" t="str">
        <f>"0611862044050"</f>
        <v>0611862044050</v>
      </c>
      <c r="B5001" t="str">
        <f>"CR4286"</f>
        <v>CR4286</v>
      </c>
      <c r="C5001" t="s">
        <v>4908</v>
      </c>
    </row>
    <row r="5002" spans="1:3" x14ac:dyDescent="0.25">
      <c r="A5002" t="str">
        <f>"0611862045100"</f>
        <v>0611862045100</v>
      </c>
      <c r="B5002" t="str">
        <f>"CN5167"</f>
        <v>CN5167</v>
      </c>
      <c r="C5002" t="s">
        <v>4909</v>
      </c>
    </row>
    <row r="5003" spans="1:3" x14ac:dyDescent="0.25">
      <c r="A5003" t="str">
        <f>"0611862048100"</f>
        <v>0611862048100</v>
      </c>
      <c r="B5003" t="str">
        <f>"CN5166"</f>
        <v>CN5166</v>
      </c>
      <c r="C5003" t="s">
        <v>4910</v>
      </c>
    </row>
    <row r="5004" spans="1:3" x14ac:dyDescent="0.25">
      <c r="A5004" t="str">
        <f>"0611834446025"</f>
        <v>0611834446025</v>
      </c>
      <c r="B5004" t="str">
        <f>"MQ6027"</f>
        <v>MQ6027</v>
      </c>
      <c r="C5004" t="s">
        <v>4911</v>
      </c>
    </row>
    <row r="5005" spans="1:3" x14ac:dyDescent="0.25">
      <c r="A5005" t="str">
        <f>"0611834453025"</f>
        <v>0611834453025</v>
      </c>
      <c r="B5005" t="str">
        <f>"MQ5127"</f>
        <v>MQ5127</v>
      </c>
      <c r="C5005" t="s">
        <v>4912</v>
      </c>
    </row>
    <row r="5006" spans="1:3" x14ac:dyDescent="0.25">
      <c r="A5006" t="str">
        <f>"0611834447100"</f>
        <v>0611834447100</v>
      </c>
      <c r="B5006" t="str">
        <f>"LH4147"</f>
        <v>LH4147</v>
      </c>
      <c r="C5006" t="s">
        <v>4913</v>
      </c>
    </row>
    <row r="5007" spans="1:3" x14ac:dyDescent="0.25">
      <c r="A5007" t="str">
        <f>"0611834448025"</f>
        <v>0611834448025</v>
      </c>
      <c r="B5007" t="str">
        <f>"MC3729"</f>
        <v>MC3729</v>
      </c>
      <c r="C5007" t="s">
        <v>4914</v>
      </c>
    </row>
    <row r="5008" spans="1:3" x14ac:dyDescent="0.25">
      <c r="A5008" t="str">
        <f>"0611834454100"</f>
        <v>0611834454100</v>
      </c>
      <c r="B5008" t="str">
        <f>"LH4150"</f>
        <v>LH4150</v>
      </c>
      <c r="C5008" t="s">
        <v>4915</v>
      </c>
    </row>
    <row r="5009" spans="1:3" x14ac:dyDescent="0.25">
      <c r="A5009" t="str">
        <f>"0611834455025"</f>
        <v>0611834455025</v>
      </c>
      <c r="B5009" t="str">
        <f>"MC0296"</f>
        <v>MC0296</v>
      </c>
      <c r="C5009" t="s">
        <v>4916</v>
      </c>
    </row>
    <row r="5010" spans="1:3" x14ac:dyDescent="0.25">
      <c r="A5010" t="str">
        <f>"0611856951025"</f>
        <v>0611856951025</v>
      </c>
      <c r="B5010" t="str">
        <f>"MQ0781"</f>
        <v>MQ0781</v>
      </c>
      <c r="C5010" t="s">
        <v>4917</v>
      </c>
    </row>
    <row r="5011" spans="1:3" x14ac:dyDescent="0.25">
      <c r="A5011" t="str">
        <f>"0611856952025"</f>
        <v>0611856952025</v>
      </c>
      <c r="B5011" t="str">
        <f>"MQ0782"</f>
        <v>MQ0782</v>
      </c>
      <c r="C5011" t="s">
        <v>4918</v>
      </c>
    </row>
    <row r="5012" spans="1:3" x14ac:dyDescent="0.25">
      <c r="A5012" t="str">
        <f>"0611856953025"</f>
        <v>0611856953025</v>
      </c>
      <c r="B5012" t="str">
        <f>"MQ0783"</f>
        <v>MQ0783</v>
      </c>
      <c r="C5012" t="s">
        <v>4919</v>
      </c>
    </row>
    <row r="5013" spans="1:3" x14ac:dyDescent="0.25">
      <c r="A5013" t="str">
        <f>"0611856954025"</f>
        <v>0611856954025</v>
      </c>
      <c r="B5013" t="str">
        <f>"MQ0784"</f>
        <v>MQ0784</v>
      </c>
      <c r="C5013" t="s">
        <v>4920</v>
      </c>
    </row>
    <row r="5014" spans="1:3" x14ac:dyDescent="0.25">
      <c r="A5014" t="str">
        <f>"0611834456025"</f>
        <v>0611834456025</v>
      </c>
      <c r="B5014" t="str">
        <f>"MQ6028"</f>
        <v>MQ6028</v>
      </c>
      <c r="C5014" t="s">
        <v>4921</v>
      </c>
    </row>
    <row r="5015" spans="1:3" x14ac:dyDescent="0.25">
      <c r="A5015" t="str">
        <f>"0611834457025"</f>
        <v>0611834457025</v>
      </c>
      <c r="B5015" t="str">
        <f>"MQ6029"</f>
        <v>MQ6029</v>
      </c>
      <c r="C5015" t="s">
        <v>4922</v>
      </c>
    </row>
    <row r="5016" spans="1:3" x14ac:dyDescent="0.25">
      <c r="A5016" t="str">
        <f>"0611834458025"</f>
        <v>0611834458025</v>
      </c>
      <c r="B5016" t="str">
        <f>"MQ0574"</f>
        <v>MQ0574</v>
      </c>
      <c r="C5016" t="s">
        <v>4923</v>
      </c>
    </row>
    <row r="5017" spans="1:3" x14ac:dyDescent="0.25">
      <c r="A5017" t="str">
        <f>"0611834459025"</f>
        <v>0611834459025</v>
      </c>
      <c r="B5017" t="str">
        <f>"MQ0498"</f>
        <v>MQ0498</v>
      </c>
      <c r="C5017" t="s">
        <v>4924</v>
      </c>
    </row>
    <row r="5018" spans="1:3" x14ac:dyDescent="0.25">
      <c r="A5018" t="str">
        <f>"0611834460025"</f>
        <v>0611834460025</v>
      </c>
      <c r="B5018" t="str">
        <f>"MQ6030"</f>
        <v>MQ6030</v>
      </c>
      <c r="C5018" t="s">
        <v>4925</v>
      </c>
    </row>
    <row r="5019" spans="1:3" x14ac:dyDescent="0.25">
      <c r="A5019" t="str">
        <f>"0611834461025"</f>
        <v>0611834461025</v>
      </c>
      <c r="B5019" t="str">
        <f>"MQ0499"</f>
        <v>MQ0499</v>
      </c>
      <c r="C5019" t="s">
        <v>4926</v>
      </c>
    </row>
    <row r="5020" spans="1:3" x14ac:dyDescent="0.25">
      <c r="A5020" t="str">
        <f>"0611834462025"</f>
        <v>0611834462025</v>
      </c>
      <c r="B5020" t="str">
        <f>"MC3347"</f>
        <v>MC3347</v>
      </c>
      <c r="C5020" t="s">
        <v>4927</v>
      </c>
    </row>
    <row r="5021" spans="1:3" x14ac:dyDescent="0.25">
      <c r="A5021" t="str">
        <f>"0611834463025"</f>
        <v>0611834463025</v>
      </c>
      <c r="B5021" t="str">
        <f>"MC3860"</f>
        <v>MC3860</v>
      </c>
      <c r="C5021" t="s">
        <v>4928</v>
      </c>
    </row>
    <row r="5022" spans="1:3" x14ac:dyDescent="0.25">
      <c r="A5022" t="str">
        <f>"0611834464025"</f>
        <v>0611834464025</v>
      </c>
      <c r="B5022" t="str">
        <f>"MC4099"</f>
        <v>MC4099</v>
      </c>
      <c r="C5022" t="s">
        <v>4929</v>
      </c>
    </row>
    <row r="5023" spans="1:3" x14ac:dyDescent="0.25">
      <c r="A5023" t="str">
        <f>"0611834465025"</f>
        <v>0611834465025</v>
      </c>
      <c r="B5023" t="str">
        <f>"MC3348"</f>
        <v>MC3348</v>
      </c>
      <c r="C5023" t="s">
        <v>4930</v>
      </c>
    </row>
    <row r="5024" spans="1:3" x14ac:dyDescent="0.25">
      <c r="A5024" t="str">
        <f>"0611862050100"</f>
        <v>0611862050100</v>
      </c>
      <c r="B5024" t="str">
        <f>"CN5169"</f>
        <v>CN5169</v>
      </c>
      <c r="C5024" t="s">
        <v>4931</v>
      </c>
    </row>
    <row r="5025" spans="1:3" x14ac:dyDescent="0.25">
      <c r="A5025" t="str">
        <f>"0611834466025"</f>
        <v>0611834466025</v>
      </c>
      <c r="B5025" t="str">
        <f>"MQ0575"</f>
        <v>MQ0575</v>
      </c>
      <c r="C5025" t="s">
        <v>4936</v>
      </c>
    </row>
    <row r="5026" spans="1:3" x14ac:dyDescent="0.25">
      <c r="A5026" t="str">
        <f>"0611862051050"</f>
        <v>0611862051050</v>
      </c>
      <c r="B5026" t="str">
        <f>"CR3934"</f>
        <v>CR3934</v>
      </c>
      <c r="C5026" t="s">
        <v>4932</v>
      </c>
    </row>
    <row r="5027" spans="1:3" x14ac:dyDescent="0.25">
      <c r="A5027" t="str">
        <f>"0611862052100"</f>
        <v>0611862052100</v>
      </c>
      <c r="B5027" t="str">
        <f>"CN2367"</f>
        <v>CN2367</v>
      </c>
      <c r="C5027" t="s">
        <v>4933</v>
      </c>
    </row>
    <row r="5028" spans="1:3" x14ac:dyDescent="0.25">
      <c r="A5028" t="str">
        <f>"0611906759025"</f>
        <v>0611906759025</v>
      </c>
      <c r="B5028" t="str">
        <f>"MQ7496"</f>
        <v>MQ7496</v>
      </c>
      <c r="C5028" t="s">
        <v>4934</v>
      </c>
    </row>
    <row r="5029" spans="1:3" x14ac:dyDescent="0.25">
      <c r="A5029" t="str">
        <f>"0611862053100"</f>
        <v>0611862053100</v>
      </c>
      <c r="B5029" t="str">
        <f>"CN2309"</f>
        <v>CN2309</v>
      </c>
      <c r="C5029" t="s">
        <v>4935</v>
      </c>
    </row>
    <row r="5030" spans="1:3" x14ac:dyDescent="0.25">
      <c r="A5030" t="str">
        <f>"0611893596100"</f>
        <v>0611893596100</v>
      </c>
      <c r="B5030" t="str">
        <f>"CN5441"</f>
        <v>CN5441</v>
      </c>
      <c r="C5030" t="s">
        <v>4937</v>
      </c>
    </row>
    <row r="5031" spans="1:3" x14ac:dyDescent="0.25">
      <c r="A5031" t="str">
        <f>"0611906760025"</f>
        <v>0611906760025</v>
      </c>
      <c r="B5031" t="str">
        <f>"MQ0855"</f>
        <v>MQ0855</v>
      </c>
      <c r="C5031" t="s">
        <v>4938</v>
      </c>
    </row>
    <row r="5032" spans="1:3" x14ac:dyDescent="0.25">
      <c r="A5032" t="str">
        <f>"0611862054100"</f>
        <v>0611862054100</v>
      </c>
      <c r="B5032" t="str">
        <f>"CN5170"</f>
        <v>CN5170</v>
      </c>
      <c r="C5032" t="s">
        <v>4939</v>
      </c>
    </row>
    <row r="5033" spans="1:3" x14ac:dyDescent="0.25">
      <c r="A5033" t="str">
        <f>"0611834467025"</f>
        <v>0611834467025</v>
      </c>
      <c r="B5033" t="str">
        <f>"MQ0215"</f>
        <v>MQ0215</v>
      </c>
      <c r="C5033" t="s">
        <v>4940</v>
      </c>
    </row>
    <row r="5034" spans="1:3" x14ac:dyDescent="0.25">
      <c r="A5034" t="str">
        <f>"0611862055050"</f>
        <v>0611862055050</v>
      </c>
      <c r="B5034" t="str">
        <f>"CR3707"</f>
        <v>CR3707</v>
      </c>
      <c r="C5034" t="s">
        <v>13840</v>
      </c>
    </row>
    <row r="5035" spans="1:3" x14ac:dyDescent="0.25">
      <c r="A5035" t="str">
        <f>"0611862056100"</f>
        <v>0611862056100</v>
      </c>
      <c r="B5035" t="str">
        <f>"CN2368"</f>
        <v>CN2368</v>
      </c>
      <c r="C5035" t="s">
        <v>4941</v>
      </c>
    </row>
    <row r="5036" spans="1:3" x14ac:dyDescent="0.25">
      <c r="A5036" t="str">
        <f>"0611906761025"</f>
        <v>0611906761025</v>
      </c>
      <c r="B5036" t="str">
        <f>"MQ7497"</f>
        <v>MQ7497</v>
      </c>
      <c r="C5036" t="s">
        <v>4942</v>
      </c>
    </row>
    <row r="5037" spans="1:3" x14ac:dyDescent="0.25">
      <c r="A5037" t="str">
        <f>"0611862057100"</f>
        <v>0611862057100</v>
      </c>
      <c r="B5037" t="str">
        <f>"CN5171"</f>
        <v>CN5171</v>
      </c>
      <c r="C5037" t="s">
        <v>4945</v>
      </c>
    </row>
    <row r="5038" spans="1:3" x14ac:dyDescent="0.25">
      <c r="A5038" t="str">
        <f>"0611834468025"</f>
        <v>0611834468025</v>
      </c>
      <c r="B5038" t="str">
        <f>"MQ0216"</f>
        <v>MQ0216</v>
      </c>
      <c r="C5038" t="s">
        <v>4943</v>
      </c>
    </row>
    <row r="5039" spans="1:3" x14ac:dyDescent="0.25">
      <c r="A5039" t="str">
        <f>"0611862058100"</f>
        <v>0611862058100</v>
      </c>
      <c r="B5039" t="str">
        <f>"CN5172"</f>
        <v>CN5172</v>
      </c>
      <c r="C5039" t="s">
        <v>4946</v>
      </c>
    </row>
    <row r="5040" spans="1:3" x14ac:dyDescent="0.25">
      <c r="A5040" t="str">
        <f>"0611834469025"</f>
        <v>0611834469025</v>
      </c>
      <c r="B5040" t="str">
        <f>"MQ0623"</f>
        <v>MQ0623</v>
      </c>
      <c r="C5040" t="s">
        <v>4944</v>
      </c>
    </row>
    <row r="5041" spans="1:3" x14ac:dyDescent="0.25">
      <c r="A5041" t="str">
        <f>"0611862059050"</f>
        <v>0611862059050</v>
      </c>
      <c r="B5041" t="str">
        <f>"CR3706"</f>
        <v>CR3706</v>
      </c>
      <c r="C5041" t="s">
        <v>4947</v>
      </c>
    </row>
    <row r="5042" spans="1:3" x14ac:dyDescent="0.25">
      <c r="A5042" t="str">
        <f>"0611862060100"</f>
        <v>0611862060100</v>
      </c>
      <c r="B5042" t="str">
        <f>"CN5173"</f>
        <v>CN5173</v>
      </c>
      <c r="C5042" t="s">
        <v>4949</v>
      </c>
    </row>
    <row r="5043" spans="1:3" x14ac:dyDescent="0.25">
      <c r="A5043" t="str">
        <f>"0611834471025"</f>
        <v>0611834471025</v>
      </c>
      <c r="B5043" t="str">
        <f>"MQ0217"</f>
        <v>MQ0217</v>
      </c>
      <c r="C5043" t="s">
        <v>4948</v>
      </c>
    </row>
    <row r="5044" spans="1:3" x14ac:dyDescent="0.25">
      <c r="A5044" t="str">
        <f>"0611862061050"</f>
        <v>0611862061050</v>
      </c>
      <c r="B5044" t="str">
        <f>"CR3709"</f>
        <v>CR3709</v>
      </c>
      <c r="C5044" t="s">
        <v>4950</v>
      </c>
    </row>
    <row r="5045" spans="1:3" x14ac:dyDescent="0.25">
      <c r="A5045" t="str">
        <f>"0611834472025"</f>
        <v>0611834472025</v>
      </c>
      <c r="B5045" t="str">
        <f>"MQ6031"</f>
        <v>MQ6031</v>
      </c>
      <c r="C5045" t="s">
        <v>4951</v>
      </c>
    </row>
    <row r="5046" spans="1:3" x14ac:dyDescent="0.25">
      <c r="A5046" t="str">
        <f>"0611834474025"</f>
        <v>0611834474025</v>
      </c>
      <c r="B5046" t="str">
        <f>"MQ6033"</f>
        <v>MQ6033</v>
      </c>
      <c r="C5046" t="s">
        <v>4952</v>
      </c>
    </row>
    <row r="5047" spans="1:3" x14ac:dyDescent="0.25">
      <c r="A5047" t="str">
        <f>"0611862062050"</f>
        <v>0611862062050</v>
      </c>
      <c r="B5047" t="str">
        <f>"CE0413"</f>
        <v>CE0413</v>
      </c>
      <c r="C5047" t="s">
        <v>4953</v>
      </c>
    </row>
    <row r="5048" spans="1:3" x14ac:dyDescent="0.25">
      <c r="A5048" t="str">
        <f>"0611862063050"</f>
        <v>0611862063050</v>
      </c>
      <c r="B5048" t="str">
        <f>"CE0415"</f>
        <v>CE0415</v>
      </c>
      <c r="C5048" t="s">
        <v>4954</v>
      </c>
    </row>
    <row r="5049" spans="1:3" x14ac:dyDescent="0.25">
      <c r="A5049" t="str">
        <f>"0611862064050"</f>
        <v>0611862064050</v>
      </c>
      <c r="B5049" t="str">
        <f>"CE1061"</f>
        <v>CE1061</v>
      </c>
      <c r="C5049" t="s">
        <v>4955</v>
      </c>
    </row>
    <row r="5050" spans="1:3" x14ac:dyDescent="0.25">
      <c r="A5050" t="str">
        <f>"0611862065050"</f>
        <v>0611862065050</v>
      </c>
      <c r="B5050" t="str">
        <f>"CE1428"</f>
        <v>CE1428</v>
      </c>
      <c r="C5050" t="s">
        <v>4956</v>
      </c>
    </row>
    <row r="5051" spans="1:3" x14ac:dyDescent="0.25">
      <c r="A5051" t="str">
        <f>"0611862066100"</f>
        <v>0611862066100</v>
      </c>
      <c r="B5051" t="str">
        <f>"CN5174"</f>
        <v>CN5174</v>
      </c>
      <c r="C5051" t="s">
        <v>4957</v>
      </c>
    </row>
    <row r="5052" spans="1:3" x14ac:dyDescent="0.25">
      <c r="A5052" t="str">
        <f>"0611862067100"</f>
        <v>0611862067100</v>
      </c>
      <c r="B5052" t="str">
        <f>"CN5175"</f>
        <v>CN5175</v>
      </c>
      <c r="C5052" t="s">
        <v>4958</v>
      </c>
    </row>
    <row r="5053" spans="1:3" x14ac:dyDescent="0.25">
      <c r="A5053" t="str">
        <f>"0611862069100"</f>
        <v>0611862069100</v>
      </c>
      <c r="B5053" t="str">
        <f>"CN5176"</f>
        <v>CN5176</v>
      </c>
      <c r="C5053" t="s">
        <v>4959</v>
      </c>
    </row>
    <row r="5054" spans="1:3" x14ac:dyDescent="0.25">
      <c r="A5054" t="str">
        <f>"0611862070050"</f>
        <v>0611862070050</v>
      </c>
      <c r="B5054" t="str">
        <f>"CR4281"</f>
        <v>CR4281</v>
      </c>
      <c r="C5054" t="s">
        <v>4960</v>
      </c>
    </row>
    <row r="5055" spans="1:3" x14ac:dyDescent="0.25">
      <c r="A5055" t="str">
        <f>"0611862071100"</f>
        <v>0611862071100</v>
      </c>
      <c r="B5055" t="str">
        <f>"CN5177"</f>
        <v>CN5177</v>
      </c>
      <c r="C5055" t="s">
        <v>4961</v>
      </c>
    </row>
    <row r="5056" spans="1:3" x14ac:dyDescent="0.25">
      <c r="A5056" t="str">
        <f>"0611862073100"</f>
        <v>0611862073100</v>
      </c>
      <c r="B5056" t="str">
        <f>"CN5178"</f>
        <v>CN5178</v>
      </c>
      <c r="C5056" t="s">
        <v>4962</v>
      </c>
    </row>
    <row r="5057" spans="1:3" x14ac:dyDescent="0.25">
      <c r="A5057" t="str">
        <f>"0611862074050"</f>
        <v>0611862074050</v>
      </c>
      <c r="B5057" t="str">
        <f>"CE0947"</f>
        <v>CE0947</v>
      </c>
      <c r="C5057" t="s">
        <v>4963</v>
      </c>
    </row>
    <row r="5058" spans="1:3" x14ac:dyDescent="0.25">
      <c r="A5058" t="str">
        <f>"0611834475100"</f>
        <v>0611834475100</v>
      </c>
      <c r="B5058" t="str">
        <f>"LH4080"</f>
        <v>LH4080</v>
      </c>
      <c r="C5058" t="s">
        <v>4964</v>
      </c>
    </row>
    <row r="5059" spans="1:3" x14ac:dyDescent="0.25">
      <c r="A5059" t="str">
        <f>"0611834476025"</f>
        <v>0611834476025</v>
      </c>
      <c r="B5059" t="str">
        <f>"MC0297"</f>
        <v>MC0297</v>
      </c>
      <c r="C5059" t="s">
        <v>4965</v>
      </c>
    </row>
    <row r="5060" spans="1:3" x14ac:dyDescent="0.25">
      <c r="A5060" t="str">
        <f>"0611834477100"</f>
        <v>0611834477100</v>
      </c>
      <c r="B5060" t="str">
        <f>"LC9600"</f>
        <v>LC9600</v>
      </c>
      <c r="C5060" t="s">
        <v>4966</v>
      </c>
    </row>
    <row r="5061" spans="1:3" x14ac:dyDescent="0.25">
      <c r="A5061" t="str">
        <f>"0611862075100"</f>
        <v>0611862075100</v>
      </c>
      <c r="B5061" t="str">
        <f>"CN5180"</f>
        <v>CN5180</v>
      </c>
      <c r="C5061" t="s">
        <v>4967</v>
      </c>
    </row>
    <row r="5062" spans="1:3" x14ac:dyDescent="0.25">
      <c r="A5062" t="str">
        <f>"0611834478100"</f>
        <v>0611834478100</v>
      </c>
      <c r="B5062" t="str">
        <f>"LC6626"</f>
        <v>LC6626</v>
      </c>
      <c r="C5062" t="s">
        <v>4968</v>
      </c>
    </row>
    <row r="5063" spans="1:3" x14ac:dyDescent="0.25">
      <c r="A5063" t="str">
        <f>"0611884221100"</f>
        <v>0611884221100</v>
      </c>
      <c r="B5063" t="str">
        <f>"CN5440"</f>
        <v>CN5440</v>
      </c>
      <c r="C5063" t="s">
        <v>4969</v>
      </c>
    </row>
    <row r="5064" spans="1:3" x14ac:dyDescent="0.25">
      <c r="A5064" t="str">
        <f>"0611862092100"</f>
        <v>0611862092100</v>
      </c>
      <c r="B5064" t="str">
        <f>"CN2105"</f>
        <v>CN2105</v>
      </c>
      <c r="C5064" t="s">
        <v>4970</v>
      </c>
    </row>
    <row r="5065" spans="1:3" x14ac:dyDescent="0.25">
      <c r="A5065" t="str">
        <f>"0611862093100"</f>
        <v>0611862093100</v>
      </c>
      <c r="B5065" t="str">
        <f>"CN2106"</f>
        <v>CN2106</v>
      </c>
      <c r="C5065" t="s">
        <v>4971</v>
      </c>
    </row>
    <row r="5066" spans="1:3" x14ac:dyDescent="0.25">
      <c r="A5066" t="str">
        <f>"0611862094100"</f>
        <v>0611862094100</v>
      </c>
      <c r="B5066" t="str">
        <f>"CN2107"</f>
        <v>CN2107</v>
      </c>
      <c r="C5066" t="s">
        <v>4972</v>
      </c>
    </row>
    <row r="5067" spans="1:3" x14ac:dyDescent="0.25">
      <c r="A5067" t="str">
        <f>"0611862095100"</f>
        <v>0611862095100</v>
      </c>
      <c r="B5067" t="str">
        <f>"CN2108"</f>
        <v>CN2108</v>
      </c>
      <c r="C5067" t="s">
        <v>4973</v>
      </c>
    </row>
    <row r="5068" spans="1:3" x14ac:dyDescent="0.25">
      <c r="A5068" t="str">
        <f>"0611862096100"</f>
        <v>0611862096100</v>
      </c>
      <c r="B5068" t="str">
        <f>"CN2109"</f>
        <v>CN2109</v>
      </c>
      <c r="C5068" t="s">
        <v>4974</v>
      </c>
    </row>
    <row r="5069" spans="1:3" x14ac:dyDescent="0.25">
      <c r="A5069" t="str">
        <f>"0611834479100"</f>
        <v>0611834479100</v>
      </c>
      <c r="B5069" t="str">
        <f>"LG0999"</f>
        <v>LG0999</v>
      </c>
      <c r="C5069" t="s">
        <v>4975</v>
      </c>
    </row>
    <row r="5070" spans="1:3" x14ac:dyDescent="0.25">
      <c r="A5070" t="str">
        <f>"0611862097100"</f>
        <v>0611862097100</v>
      </c>
      <c r="B5070" t="str">
        <f>"CN2110"</f>
        <v>CN2110</v>
      </c>
      <c r="C5070" t="s">
        <v>4976</v>
      </c>
    </row>
    <row r="5071" spans="1:3" x14ac:dyDescent="0.25">
      <c r="A5071" t="str">
        <f>"0611862098100"</f>
        <v>0611862098100</v>
      </c>
      <c r="B5071" t="str">
        <f>"CN2111"</f>
        <v>CN2111</v>
      </c>
      <c r="C5071" t="s">
        <v>4977</v>
      </c>
    </row>
    <row r="5072" spans="1:3" x14ac:dyDescent="0.25">
      <c r="A5072" t="str">
        <f>"0611862099100"</f>
        <v>0611862099100</v>
      </c>
      <c r="B5072" t="str">
        <f>"CN2112"</f>
        <v>CN2112</v>
      </c>
      <c r="C5072" t="s">
        <v>4978</v>
      </c>
    </row>
    <row r="5073" spans="1:3" x14ac:dyDescent="0.25">
      <c r="A5073" t="str">
        <f>"0611862100100"</f>
        <v>0611862100100</v>
      </c>
      <c r="B5073" t="str">
        <f>"CN2113"</f>
        <v>CN2113</v>
      </c>
      <c r="C5073" t="s">
        <v>4979</v>
      </c>
    </row>
    <row r="5074" spans="1:3" x14ac:dyDescent="0.25">
      <c r="A5074" t="str">
        <f>"0611862101100"</f>
        <v>0611862101100</v>
      </c>
      <c r="B5074" t="str">
        <f>"CN2114"</f>
        <v>CN2114</v>
      </c>
      <c r="C5074" t="s">
        <v>4980</v>
      </c>
    </row>
    <row r="5075" spans="1:3" x14ac:dyDescent="0.25">
      <c r="A5075" t="str">
        <f>"0611862102100"</f>
        <v>0611862102100</v>
      </c>
      <c r="B5075" t="str">
        <f>"CN2115"</f>
        <v>CN2115</v>
      </c>
      <c r="C5075" t="s">
        <v>4981</v>
      </c>
    </row>
    <row r="5076" spans="1:3" x14ac:dyDescent="0.25">
      <c r="A5076" t="str">
        <f>"0611862103100"</f>
        <v>0611862103100</v>
      </c>
      <c r="B5076" t="str">
        <f>"CN2116"</f>
        <v>CN2116</v>
      </c>
      <c r="C5076" t="s">
        <v>4982</v>
      </c>
    </row>
    <row r="5077" spans="1:3" x14ac:dyDescent="0.25">
      <c r="A5077" t="str">
        <f>"0611862104100"</f>
        <v>0611862104100</v>
      </c>
      <c r="B5077" t="str">
        <f>"CN2117"</f>
        <v>CN2117</v>
      </c>
      <c r="C5077" t="s">
        <v>4983</v>
      </c>
    </row>
    <row r="5078" spans="1:3" x14ac:dyDescent="0.25">
      <c r="A5078" t="str">
        <f>"0611862105100"</f>
        <v>0611862105100</v>
      </c>
      <c r="B5078" t="str">
        <f>"CN2118"</f>
        <v>CN2118</v>
      </c>
      <c r="C5078" t="s">
        <v>4984</v>
      </c>
    </row>
    <row r="5079" spans="1:3" x14ac:dyDescent="0.25">
      <c r="A5079" t="str">
        <f>"0611862106100"</f>
        <v>0611862106100</v>
      </c>
      <c r="B5079" t="str">
        <f>"CN2119"</f>
        <v>CN2119</v>
      </c>
      <c r="C5079" t="s">
        <v>4985</v>
      </c>
    </row>
    <row r="5080" spans="1:3" x14ac:dyDescent="0.25">
      <c r="A5080" t="str">
        <f>"0611862107100"</f>
        <v>0611862107100</v>
      </c>
      <c r="B5080" t="str">
        <f>"CN2120"</f>
        <v>CN2120</v>
      </c>
      <c r="C5080" t="s">
        <v>4986</v>
      </c>
    </row>
    <row r="5081" spans="1:3" x14ac:dyDescent="0.25">
      <c r="A5081" t="str">
        <f>"0611906762025"</f>
        <v>0611906762025</v>
      </c>
      <c r="B5081" t="str">
        <f>"MC4566"</f>
        <v>MC4566</v>
      </c>
      <c r="C5081" t="s">
        <v>4987</v>
      </c>
    </row>
    <row r="5082" spans="1:3" x14ac:dyDescent="0.25">
      <c r="A5082" t="str">
        <f>"0611834480025"</f>
        <v>0611834480025</v>
      </c>
      <c r="B5082" t="str">
        <f>"MQ0576"</f>
        <v>MQ0576</v>
      </c>
      <c r="C5082" t="s">
        <v>4988</v>
      </c>
    </row>
    <row r="5083" spans="1:3" x14ac:dyDescent="0.25">
      <c r="A5083" t="str">
        <f>"0611834481025"</f>
        <v>0611834481025</v>
      </c>
      <c r="B5083" t="str">
        <f>"MQ0087"</f>
        <v>MQ0087</v>
      </c>
      <c r="C5083" t="s">
        <v>4989</v>
      </c>
    </row>
    <row r="5084" spans="1:3" x14ac:dyDescent="0.25">
      <c r="A5084" t="str">
        <f>"0611834482025"</f>
        <v>0611834482025</v>
      </c>
      <c r="B5084" t="str">
        <f>"MC4338"</f>
        <v>MC4338</v>
      </c>
      <c r="C5084" t="s">
        <v>4990</v>
      </c>
    </row>
    <row r="5085" spans="1:3" x14ac:dyDescent="0.25">
      <c r="A5085" t="str">
        <f>"0611834483025"</f>
        <v>0611834483025</v>
      </c>
      <c r="B5085" t="str">
        <f>"MQ0543"</f>
        <v>MQ0543</v>
      </c>
      <c r="C5085" t="s">
        <v>4991</v>
      </c>
    </row>
    <row r="5086" spans="1:3" x14ac:dyDescent="0.25">
      <c r="A5086" t="str">
        <f>"0611834484025"</f>
        <v>0611834484025</v>
      </c>
      <c r="B5086" t="str">
        <f>"MQ0577"</f>
        <v>MQ0577</v>
      </c>
      <c r="C5086" t="s">
        <v>4992</v>
      </c>
    </row>
    <row r="5087" spans="1:3" x14ac:dyDescent="0.25">
      <c r="A5087" t="str">
        <f>"0611834485025"</f>
        <v>0611834485025</v>
      </c>
      <c r="B5087" t="str">
        <f>"MQ0088"</f>
        <v>MQ0088</v>
      </c>
      <c r="C5087" t="s">
        <v>4993</v>
      </c>
    </row>
    <row r="5088" spans="1:3" x14ac:dyDescent="0.25">
      <c r="A5088" t="str">
        <f>"0611862108100"</f>
        <v>0611862108100</v>
      </c>
      <c r="B5088" t="str">
        <f>"CN5181"</f>
        <v>CN5181</v>
      </c>
      <c r="C5088" t="s">
        <v>4994</v>
      </c>
    </row>
    <row r="5089" spans="1:3" x14ac:dyDescent="0.25">
      <c r="A5089" t="str">
        <f>"0611834486025"</f>
        <v>0611834486025</v>
      </c>
      <c r="B5089" t="str">
        <f>"MQ0089"</f>
        <v>MQ0089</v>
      </c>
      <c r="C5089" t="s">
        <v>4995</v>
      </c>
    </row>
    <row r="5090" spans="1:3" x14ac:dyDescent="0.25">
      <c r="A5090" t="str">
        <f>"0611862109100"</f>
        <v>0611862109100</v>
      </c>
      <c r="B5090" t="str">
        <f>"CN5182"</f>
        <v>CN5182</v>
      </c>
      <c r="C5090" t="s">
        <v>4996</v>
      </c>
    </row>
    <row r="5091" spans="1:3" x14ac:dyDescent="0.25">
      <c r="A5091" t="str">
        <f>"0611834487025"</f>
        <v>0611834487025</v>
      </c>
      <c r="B5091" t="str">
        <f>"MQ0090"</f>
        <v>MQ0090</v>
      </c>
      <c r="C5091" t="s">
        <v>4997</v>
      </c>
    </row>
    <row r="5092" spans="1:3" x14ac:dyDescent="0.25">
      <c r="A5092" t="str">
        <f>"0611834488025"</f>
        <v>0611834488025</v>
      </c>
      <c r="B5092" t="str">
        <f>"MQ0708"</f>
        <v>MQ0708</v>
      </c>
      <c r="C5092" t="s">
        <v>4998</v>
      </c>
    </row>
    <row r="5093" spans="1:3" x14ac:dyDescent="0.25">
      <c r="A5093" t="str">
        <f>"0611834489025"</f>
        <v>0611834489025</v>
      </c>
      <c r="B5093" t="str">
        <f>"MC2426"</f>
        <v>MC2426</v>
      </c>
      <c r="C5093" t="s">
        <v>4999</v>
      </c>
    </row>
    <row r="5094" spans="1:3" x14ac:dyDescent="0.25">
      <c r="A5094" t="str">
        <f>"0611834491025"</f>
        <v>0611834491025</v>
      </c>
      <c r="B5094" t="str">
        <f>"MQ0709"</f>
        <v>MQ0709</v>
      </c>
      <c r="C5094" t="s">
        <v>5000</v>
      </c>
    </row>
    <row r="5095" spans="1:3" x14ac:dyDescent="0.25">
      <c r="A5095" t="str">
        <f>"0611884222100"</f>
        <v>0611884222100</v>
      </c>
      <c r="B5095" t="str">
        <f>"LH8077"</f>
        <v>LH8077</v>
      </c>
      <c r="C5095" t="s">
        <v>5001</v>
      </c>
    </row>
    <row r="5096" spans="1:3" x14ac:dyDescent="0.25">
      <c r="A5096" t="str">
        <f>"0611834493025"</f>
        <v>0611834493025</v>
      </c>
      <c r="B5096" t="str">
        <f>"MQ3149"</f>
        <v>MQ3149</v>
      </c>
      <c r="C5096" t="s">
        <v>5002</v>
      </c>
    </row>
    <row r="5097" spans="1:3" x14ac:dyDescent="0.25">
      <c r="A5097" t="str">
        <f>"0611834495025"</f>
        <v>0611834495025</v>
      </c>
      <c r="B5097" t="str">
        <f>"MQ9011"</f>
        <v>MQ9011</v>
      </c>
      <c r="C5097" t="s">
        <v>5003</v>
      </c>
    </row>
    <row r="5098" spans="1:3" x14ac:dyDescent="0.25">
      <c r="A5098" t="str">
        <f>"0611834497025"</f>
        <v>0611834497025</v>
      </c>
      <c r="B5098" t="str">
        <f>"MQ5158"</f>
        <v>MQ5158</v>
      </c>
      <c r="C5098" t="s">
        <v>5004</v>
      </c>
    </row>
    <row r="5099" spans="1:3" x14ac:dyDescent="0.25">
      <c r="A5099" t="str">
        <f>"0611862110100"</f>
        <v>0611862110100</v>
      </c>
      <c r="B5099" t="str">
        <f>"CN2369"</f>
        <v>CN2369</v>
      </c>
      <c r="C5099" t="s">
        <v>5005</v>
      </c>
    </row>
    <row r="5100" spans="1:3" x14ac:dyDescent="0.25">
      <c r="A5100" t="str">
        <f>"0611906569100"</f>
        <v>0611906569100</v>
      </c>
      <c r="B5100" t="str">
        <f>"CN2466"</f>
        <v>CN2466</v>
      </c>
      <c r="C5100" t="s">
        <v>5006</v>
      </c>
    </row>
    <row r="5101" spans="1:3" x14ac:dyDescent="0.25">
      <c r="A5101" t="str">
        <f>"0611862111100"</f>
        <v>0611862111100</v>
      </c>
      <c r="B5101" t="str">
        <f>"CN5183"</f>
        <v>CN5183</v>
      </c>
      <c r="C5101" t="s">
        <v>5007</v>
      </c>
    </row>
    <row r="5102" spans="1:3" x14ac:dyDescent="0.25">
      <c r="A5102" t="str">
        <f>"0611862112100"</f>
        <v>0611862112100</v>
      </c>
      <c r="B5102" t="str">
        <f>"CN5184"</f>
        <v>CN5184</v>
      </c>
      <c r="C5102" t="s">
        <v>5008</v>
      </c>
    </row>
    <row r="5103" spans="1:3" x14ac:dyDescent="0.25">
      <c r="A5103" t="str">
        <f>"0611862113050"</f>
        <v>0611862113050</v>
      </c>
      <c r="B5103" t="str">
        <f>"CR3798"</f>
        <v>CR3798</v>
      </c>
      <c r="C5103" t="s">
        <v>5009</v>
      </c>
    </row>
    <row r="5104" spans="1:3" x14ac:dyDescent="0.25">
      <c r="A5104" t="str">
        <f>"0611862114100"</f>
        <v>0611862114100</v>
      </c>
      <c r="B5104" t="str">
        <f>"CN5185"</f>
        <v>CN5185</v>
      </c>
      <c r="C5104" t="s">
        <v>5010</v>
      </c>
    </row>
    <row r="5105" spans="1:3" x14ac:dyDescent="0.25">
      <c r="A5105" t="str">
        <f>"0611834498100"</f>
        <v>0611834498100</v>
      </c>
      <c r="B5105" t="str">
        <f>"LH0012"</f>
        <v>LH0012</v>
      </c>
      <c r="C5105" t="s">
        <v>5011</v>
      </c>
    </row>
    <row r="5106" spans="1:3" x14ac:dyDescent="0.25">
      <c r="A5106" t="str">
        <f>"0611834500025"</f>
        <v>0611834500025</v>
      </c>
      <c r="B5106" t="str">
        <f>"MQ3150"</f>
        <v>MQ3150</v>
      </c>
      <c r="C5106" t="s">
        <v>5012</v>
      </c>
    </row>
    <row r="5107" spans="1:3" x14ac:dyDescent="0.25">
      <c r="A5107" t="str">
        <f>"0611893597100"</f>
        <v>0611893597100</v>
      </c>
      <c r="B5107" t="str">
        <f>"CN2482"</f>
        <v>CN2482</v>
      </c>
      <c r="C5107" t="s">
        <v>5013</v>
      </c>
    </row>
    <row r="5108" spans="1:3" x14ac:dyDescent="0.25">
      <c r="A5108" t="str">
        <f>"0611893598100"</f>
        <v>0611893598100</v>
      </c>
      <c r="B5108" t="str">
        <f>"CN2483"</f>
        <v>CN2483</v>
      </c>
      <c r="C5108" t="s">
        <v>5014</v>
      </c>
    </row>
    <row r="5109" spans="1:3" x14ac:dyDescent="0.25">
      <c r="A5109" t="str">
        <f>"0611834501025"</f>
        <v>0611834501025</v>
      </c>
      <c r="B5109" t="str">
        <f>"MQ0022"</f>
        <v>MQ0022</v>
      </c>
      <c r="C5109" t="s">
        <v>5015</v>
      </c>
    </row>
    <row r="5110" spans="1:3" x14ac:dyDescent="0.25">
      <c r="A5110" t="str">
        <f>"0611862115100"</f>
        <v>0611862115100</v>
      </c>
      <c r="B5110" t="str">
        <f>"CN5186"</f>
        <v>CN5186</v>
      </c>
      <c r="C5110" t="s">
        <v>5016</v>
      </c>
    </row>
    <row r="5111" spans="1:3" x14ac:dyDescent="0.25">
      <c r="A5111" t="str">
        <f>"0611834502025"</f>
        <v>0611834502025</v>
      </c>
      <c r="B5111" t="str">
        <f>"MQ0023"</f>
        <v>MQ0023</v>
      </c>
      <c r="C5111" t="s">
        <v>5017</v>
      </c>
    </row>
    <row r="5112" spans="1:3" x14ac:dyDescent="0.25">
      <c r="A5112" t="str">
        <f>"0611834503025"</f>
        <v>0611834503025</v>
      </c>
      <c r="B5112" t="str">
        <f>"MC3561"</f>
        <v>MC3561</v>
      </c>
      <c r="C5112" t="s">
        <v>5018</v>
      </c>
    </row>
    <row r="5113" spans="1:3" x14ac:dyDescent="0.25">
      <c r="A5113" t="str">
        <f>"0611862116100"</f>
        <v>0611862116100</v>
      </c>
      <c r="B5113" t="str">
        <f>"CN5187"</f>
        <v>CN5187</v>
      </c>
      <c r="C5113" t="s">
        <v>5019</v>
      </c>
    </row>
    <row r="5114" spans="1:3" x14ac:dyDescent="0.25">
      <c r="A5114" t="str">
        <f>"0611834505025"</f>
        <v>0611834505025</v>
      </c>
      <c r="B5114" t="str">
        <f>"MQ0710"</f>
        <v>MQ0710</v>
      </c>
      <c r="C5114" t="s">
        <v>5020</v>
      </c>
    </row>
    <row r="5115" spans="1:3" x14ac:dyDescent="0.25">
      <c r="A5115" t="str">
        <f>"0611862117100"</f>
        <v>0611862117100</v>
      </c>
      <c r="B5115" t="str">
        <f>"CN5188"</f>
        <v>CN5188</v>
      </c>
      <c r="C5115" t="s">
        <v>5021</v>
      </c>
    </row>
    <row r="5116" spans="1:3" x14ac:dyDescent="0.25">
      <c r="A5116" t="str">
        <f>"0611834506025"</f>
        <v>0611834506025</v>
      </c>
      <c r="B5116" t="str">
        <f>"MC0860"</f>
        <v>MC0860</v>
      </c>
      <c r="C5116" t="s">
        <v>5022</v>
      </c>
    </row>
    <row r="5117" spans="1:3" x14ac:dyDescent="0.25">
      <c r="A5117" t="str">
        <f>"0611834507025"</f>
        <v>0611834507025</v>
      </c>
      <c r="B5117" t="str">
        <f>"MC3878"</f>
        <v>MC3878</v>
      </c>
      <c r="C5117" t="s">
        <v>5023</v>
      </c>
    </row>
    <row r="5118" spans="1:3" x14ac:dyDescent="0.25">
      <c r="A5118" t="str">
        <f>"0611834508025"</f>
        <v>0611834508025</v>
      </c>
      <c r="B5118" t="str">
        <f>"MQ5159"</f>
        <v>MQ5159</v>
      </c>
      <c r="C5118" t="s">
        <v>5024</v>
      </c>
    </row>
    <row r="5119" spans="1:3" x14ac:dyDescent="0.25">
      <c r="A5119" t="str">
        <f>"0611834509025"</f>
        <v>0611834509025</v>
      </c>
      <c r="B5119" t="str">
        <f>"MQ5160"</f>
        <v>MQ5160</v>
      </c>
      <c r="C5119" t="s">
        <v>5025</v>
      </c>
    </row>
    <row r="5120" spans="1:3" x14ac:dyDescent="0.25">
      <c r="A5120" t="str">
        <f>"0611856955025"</f>
        <v>0611856955025</v>
      </c>
      <c r="B5120" t="str">
        <f>"MQ0785"</f>
        <v>MQ0785</v>
      </c>
      <c r="C5120" t="s">
        <v>5026</v>
      </c>
    </row>
    <row r="5121" spans="1:3" x14ac:dyDescent="0.25">
      <c r="A5121" t="str">
        <f>"0611862119100"</f>
        <v>0611862119100</v>
      </c>
      <c r="B5121" t="str">
        <f>"CN5189"</f>
        <v>CN5189</v>
      </c>
      <c r="C5121" t="s">
        <v>5027</v>
      </c>
    </row>
    <row r="5122" spans="1:3" x14ac:dyDescent="0.25">
      <c r="A5122" t="str">
        <f>"0611834512025"</f>
        <v>0611834512025</v>
      </c>
      <c r="B5122" t="str">
        <f>"MC0299"</f>
        <v>MC0299</v>
      </c>
      <c r="C5122" t="s">
        <v>5028</v>
      </c>
    </row>
    <row r="5123" spans="1:3" x14ac:dyDescent="0.25">
      <c r="A5123" t="str">
        <f>"0611834513025"</f>
        <v>0611834513025</v>
      </c>
      <c r="B5123" t="str">
        <f>"MQ3151"</f>
        <v>MQ3151</v>
      </c>
      <c r="C5123" t="s">
        <v>5029</v>
      </c>
    </row>
    <row r="5124" spans="1:3" x14ac:dyDescent="0.25">
      <c r="A5124" t="str">
        <f>"0611834514025"</f>
        <v>0611834514025</v>
      </c>
      <c r="B5124" t="str">
        <f>"MQ0041"</f>
        <v>MQ0041</v>
      </c>
      <c r="C5124" t="s">
        <v>5030</v>
      </c>
    </row>
    <row r="5125" spans="1:3" x14ac:dyDescent="0.25">
      <c r="A5125" t="str">
        <f>"0611834544100"</f>
        <v>0611834544100</v>
      </c>
      <c r="B5125" t="str">
        <f>"LK6388"</f>
        <v>LK6388</v>
      </c>
      <c r="C5125" t="s">
        <v>5031</v>
      </c>
    </row>
    <row r="5126" spans="1:3" x14ac:dyDescent="0.25">
      <c r="A5126" t="str">
        <f>"0611834545100"</f>
        <v>0611834545100</v>
      </c>
      <c r="B5126" t="str">
        <f>"LK7010"</f>
        <v>LK7010</v>
      </c>
      <c r="C5126" t="s">
        <v>5032</v>
      </c>
    </row>
    <row r="5127" spans="1:3" x14ac:dyDescent="0.25">
      <c r="A5127" t="str">
        <f>"0611834546100"</f>
        <v>0611834546100</v>
      </c>
      <c r="B5127" t="str">
        <f>"LK5559"</f>
        <v>LK5559</v>
      </c>
      <c r="C5127" t="s">
        <v>5033</v>
      </c>
    </row>
    <row r="5128" spans="1:3" x14ac:dyDescent="0.25">
      <c r="A5128" t="str">
        <f>"0611834547100"</f>
        <v>0611834547100</v>
      </c>
      <c r="B5128" t="str">
        <f>"LK4296"</f>
        <v>LK4296</v>
      </c>
      <c r="C5128" t="s">
        <v>5034</v>
      </c>
    </row>
    <row r="5129" spans="1:3" x14ac:dyDescent="0.25">
      <c r="A5129" t="str">
        <f>"0611834548100"</f>
        <v>0611834548100</v>
      </c>
      <c r="B5129" t="str">
        <f>"LK6050"</f>
        <v>LK6050</v>
      </c>
      <c r="C5129" t="s">
        <v>5035</v>
      </c>
    </row>
    <row r="5130" spans="1:3" x14ac:dyDescent="0.25">
      <c r="A5130" t="str">
        <f>"0611834549100"</f>
        <v>0611834549100</v>
      </c>
      <c r="B5130" t="str">
        <f>"LK4297"</f>
        <v>LK4297</v>
      </c>
      <c r="C5130" t="s">
        <v>5036</v>
      </c>
    </row>
    <row r="5131" spans="1:3" x14ac:dyDescent="0.25">
      <c r="A5131" t="str">
        <f>"0611834550100"</f>
        <v>0611834550100</v>
      </c>
      <c r="B5131" t="str">
        <f>"LK5560"</f>
        <v>LK5560</v>
      </c>
      <c r="C5131" t="s">
        <v>5037</v>
      </c>
    </row>
    <row r="5132" spans="1:3" x14ac:dyDescent="0.25">
      <c r="A5132" t="str">
        <f>"0611834551100"</f>
        <v>0611834551100</v>
      </c>
      <c r="B5132" t="str">
        <f>"LK4298"</f>
        <v>LK4298</v>
      </c>
      <c r="C5132" t="s">
        <v>5038</v>
      </c>
    </row>
    <row r="5133" spans="1:3" x14ac:dyDescent="0.25">
      <c r="A5133" t="str">
        <f>"0611834515100"</f>
        <v>0611834515100</v>
      </c>
      <c r="B5133" t="str">
        <f>"LK4993"</f>
        <v>LK4993</v>
      </c>
      <c r="C5133" t="s">
        <v>5039</v>
      </c>
    </row>
    <row r="5134" spans="1:3" x14ac:dyDescent="0.25">
      <c r="A5134" t="str">
        <f>"0611834516100"</f>
        <v>0611834516100</v>
      </c>
      <c r="B5134" t="str">
        <f>"LK4808"</f>
        <v>LK4808</v>
      </c>
      <c r="C5134" t="s">
        <v>5040</v>
      </c>
    </row>
    <row r="5135" spans="1:3" x14ac:dyDescent="0.25">
      <c r="A5135" t="str">
        <f>"0611834517100"</f>
        <v>0611834517100</v>
      </c>
      <c r="B5135" t="str">
        <f>"LK4809"</f>
        <v>LK4809</v>
      </c>
      <c r="C5135" t="s">
        <v>5041</v>
      </c>
    </row>
    <row r="5136" spans="1:3" x14ac:dyDescent="0.25">
      <c r="A5136" t="str">
        <f>"0611834518100"</f>
        <v>0611834518100</v>
      </c>
      <c r="B5136" t="str">
        <f>"LK4810"</f>
        <v>LK4810</v>
      </c>
      <c r="C5136" t="s">
        <v>5042</v>
      </c>
    </row>
    <row r="5137" spans="1:3" x14ac:dyDescent="0.25">
      <c r="A5137" t="str">
        <f>"0611834519100"</f>
        <v>0611834519100</v>
      </c>
      <c r="B5137" t="str">
        <f>"LK4811"</f>
        <v>LK4811</v>
      </c>
      <c r="C5137" t="s">
        <v>5043</v>
      </c>
    </row>
    <row r="5138" spans="1:3" x14ac:dyDescent="0.25">
      <c r="A5138" t="str">
        <f>"0611834520100"</f>
        <v>0611834520100</v>
      </c>
      <c r="B5138" t="str">
        <f>"LK5460"</f>
        <v>LK5460</v>
      </c>
      <c r="C5138" t="s">
        <v>5044</v>
      </c>
    </row>
    <row r="5139" spans="1:3" x14ac:dyDescent="0.25">
      <c r="A5139" t="str">
        <f>"0611834521100"</f>
        <v>0611834521100</v>
      </c>
      <c r="B5139" t="str">
        <f>"LK5753"</f>
        <v>LK5753</v>
      </c>
      <c r="C5139" t="s">
        <v>5045</v>
      </c>
    </row>
    <row r="5140" spans="1:3" x14ac:dyDescent="0.25">
      <c r="A5140" t="str">
        <f>"0611834522100"</f>
        <v>0611834522100</v>
      </c>
      <c r="B5140" t="str">
        <f>"LK5562"</f>
        <v>LK5562</v>
      </c>
      <c r="C5140" t="s">
        <v>5046</v>
      </c>
    </row>
    <row r="5141" spans="1:3" x14ac:dyDescent="0.25">
      <c r="A5141" t="str">
        <f>"0611834523100"</f>
        <v>0611834523100</v>
      </c>
      <c r="B5141" t="str">
        <f>"LK4994"</f>
        <v>LK4994</v>
      </c>
      <c r="C5141" t="s">
        <v>5047</v>
      </c>
    </row>
    <row r="5142" spans="1:3" x14ac:dyDescent="0.25">
      <c r="A5142" t="str">
        <f>"0611834524100"</f>
        <v>0611834524100</v>
      </c>
      <c r="B5142" t="str">
        <f>"LK4995"</f>
        <v>LK4995</v>
      </c>
      <c r="C5142" t="s">
        <v>5048</v>
      </c>
    </row>
    <row r="5143" spans="1:3" x14ac:dyDescent="0.25">
      <c r="A5143" t="str">
        <f>"0611834525100"</f>
        <v>0611834525100</v>
      </c>
      <c r="B5143" t="str">
        <f>"LK5754"</f>
        <v>LK5754</v>
      </c>
      <c r="C5143" t="s">
        <v>5049</v>
      </c>
    </row>
    <row r="5144" spans="1:3" x14ac:dyDescent="0.25">
      <c r="A5144" t="str">
        <f>"0611834526100"</f>
        <v>0611834526100</v>
      </c>
      <c r="B5144" t="str">
        <f>"LK4812"</f>
        <v>LK4812</v>
      </c>
      <c r="C5144" t="s">
        <v>5050</v>
      </c>
    </row>
    <row r="5145" spans="1:3" x14ac:dyDescent="0.25">
      <c r="A5145" t="str">
        <f>"0611834527100"</f>
        <v>0611834527100</v>
      </c>
      <c r="B5145" t="str">
        <f>"LK4813"</f>
        <v>LK4813</v>
      </c>
      <c r="C5145" t="s">
        <v>5051</v>
      </c>
    </row>
    <row r="5146" spans="1:3" x14ac:dyDescent="0.25">
      <c r="A5146" t="str">
        <f>"0611834528100"</f>
        <v>0611834528100</v>
      </c>
      <c r="B5146" t="str">
        <f>"LB3244"</f>
        <v>LB3244</v>
      </c>
      <c r="C5146" t="s">
        <v>5052</v>
      </c>
    </row>
    <row r="5147" spans="1:3" x14ac:dyDescent="0.25">
      <c r="A5147" t="str">
        <f>"0611834529100"</f>
        <v>0611834529100</v>
      </c>
      <c r="B5147" t="str">
        <f>"LB2706"</f>
        <v>LB2706</v>
      </c>
      <c r="C5147" t="s">
        <v>5053</v>
      </c>
    </row>
    <row r="5148" spans="1:3" x14ac:dyDescent="0.25">
      <c r="A5148" t="str">
        <f>"0611834530100"</f>
        <v>0611834530100</v>
      </c>
      <c r="B5148" t="str">
        <f>"LB2676"</f>
        <v>LB2676</v>
      </c>
      <c r="C5148" t="s">
        <v>5054</v>
      </c>
    </row>
    <row r="5149" spans="1:3" x14ac:dyDescent="0.25">
      <c r="A5149" t="str">
        <f>"0611834531100"</f>
        <v>0611834531100</v>
      </c>
      <c r="B5149" t="str">
        <f>"LB2699"</f>
        <v>LB2699</v>
      </c>
      <c r="C5149" t="s">
        <v>5055</v>
      </c>
    </row>
    <row r="5150" spans="1:3" x14ac:dyDescent="0.25">
      <c r="A5150" t="str">
        <f>"0611834534100"</f>
        <v>0611834534100</v>
      </c>
      <c r="B5150" t="str">
        <f>"LK7009"</f>
        <v>LK7009</v>
      </c>
      <c r="C5150" t="s">
        <v>5056</v>
      </c>
    </row>
    <row r="5151" spans="1:3" x14ac:dyDescent="0.25">
      <c r="A5151" t="str">
        <f>"0611834540100"</f>
        <v>0611834540100</v>
      </c>
      <c r="B5151" t="str">
        <f>"LK0491"</f>
        <v>LK0491</v>
      </c>
      <c r="C5151" t="s">
        <v>5057</v>
      </c>
    </row>
    <row r="5152" spans="1:3" x14ac:dyDescent="0.25">
      <c r="A5152" t="str">
        <f>"0611834535100"</f>
        <v>0611834535100</v>
      </c>
      <c r="B5152" t="str">
        <f>"MB2700"</f>
        <v>MB2700</v>
      </c>
      <c r="C5152" t="s">
        <v>5058</v>
      </c>
    </row>
    <row r="5153" spans="1:3" x14ac:dyDescent="0.25">
      <c r="A5153" t="str">
        <f>"0611834536100"</f>
        <v>0611834536100</v>
      </c>
      <c r="B5153" t="str">
        <f>"LB2711"</f>
        <v>LB2711</v>
      </c>
      <c r="C5153" t="s">
        <v>5059</v>
      </c>
    </row>
    <row r="5154" spans="1:3" x14ac:dyDescent="0.25">
      <c r="A5154" t="str">
        <f>"0611834543025"</f>
        <v>0611834543025</v>
      </c>
      <c r="B5154" t="str">
        <f>"MC4027"</f>
        <v>MC4027</v>
      </c>
      <c r="C5154" t="s">
        <v>5060</v>
      </c>
    </row>
    <row r="5155" spans="1:3" x14ac:dyDescent="0.25">
      <c r="A5155" t="str">
        <f>"0611834552100"</f>
        <v>0611834552100</v>
      </c>
      <c r="B5155" t="str">
        <f>"LK3321"</f>
        <v>LK3321</v>
      </c>
      <c r="C5155" t="s">
        <v>5061</v>
      </c>
    </row>
    <row r="5156" spans="1:3" x14ac:dyDescent="0.25">
      <c r="A5156" t="str">
        <f>"0611834553100"</f>
        <v>0611834553100</v>
      </c>
      <c r="B5156" t="str">
        <f>"LK5749"</f>
        <v>LK5749</v>
      </c>
      <c r="C5156" t="s">
        <v>5062</v>
      </c>
    </row>
    <row r="5157" spans="1:3" x14ac:dyDescent="0.25">
      <c r="A5157" t="str">
        <f>"0611834554100"</f>
        <v>0611834554100</v>
      </c>
      <c r="B5157" t="str">
        <f>"LK0707"</f>
        <v>LK0707</v>
      </c>
      <c r="C5157" t="s">
        <v>5063</v>
      </c>
    </row>
    <row r="5158" spans="1:3" x14ac:dyDescent="0.25">
      <c r="A5158" t="str">
        <f>"0611834555100"</f>
        <v>0611834555100</v>
      </c>
      <c r="B5158" t="str">
        <f>"LK5459"</f>
        <v>LK5459</v>
      </c>
      <c r="C5158" t="s">
        <v>5064</v>
      </c>
    </row>
    <row r="5159" spans="1:3" x14ac:dyDescent="0.25">
      <c r="A5159" t="str">
        <f>"0611834556100"</f>
        <v>0611834556100</v>
      </c>
      <c r="B5159" t="str">
        <f>"LK5750"</f>
        <v>LK5750</v>
      </c>
      <c r="C5159" t="s">
        <v>5065</v>
      </c>
    </row>
    <row r="5160" spans="1:3" x14ac:dyDescent="0.25">
      <c r="A5160" t="str">
        <f>"0611834557100"</f>
        <v>0611834557100</v>
      </c>
      <c r="B5160" t="str">
        <f>"LK4992"</f>
        <v>LK4992</v>
      </c>
      <c r="C5160" t="s">
        <v>5066</v>
      </c>
    </row>
    <row r="5161" spans="1:3" x14ac:dyDescent="0.25">
      <c r="A5161" t="str">
        <f>"0611834558100"</f>
        <v>0611834558100</v>
      </c>
      <c r="B5161" t="str">
        <f>"LK5751"</f>
        <v>LK5751</v>
      </c>
      <c r="C5161" t="s">
        <v>5067</v>
      </c>
    </row>
    <row r="5162" spans="1:3" x14ac:dyDescent="0.25">
      <c r="A5162" t="str">
        <f>"0611834559100"</f>
        <v>0611834559100</v>
      </c>
      <c r="B5162" t="str">
        <f>"LK4471"</f>
        <v>LK4471</v>
      </c>
      <c r="C5162" t="s">
        <v>5068</v>
      </c>
    </row>
    <row r="5163" spans="1:3" x14ac:dyDescent="0.25">
      <c r="A5163" t="str">
        <f>"0611834560100"</f>
        <v>0611834560100</v>
      </c>
      <c r="B5163" t="str">
        <f>"LK5752"</f>
        <v>LK5752</v>
      </c>
      <c r="C5163" t="s">
        <v>5069</v>
      </c>
    </row>
    <row r="5164" spans="1:3" x14ac:dyDescent="0.25">
      <c r="A5164" t="str">
        <f>"0611834561100"</f>
        <v>0611834561100</v>
      </c>
      <c r="B5164" t="str">
        <f>"LK1561"</f>
        <v>LK1561</v>
      </c>
      <c r="C5164" t="s">
        <v>5070</v>
      </c>
    </row>
    <row r="5165" spans="1:3" x14ac:dyDescent="0.25">
      <c r="A5165" t="str">
        <f>"0611834562100"</f>
        <v>0611834562100</v>
      </c>
      <c r="B5165" t="str">
        <f>"LK0139"</f>
        <v>LK0139</v>
      </c>
      <c r="C5165" t="s">
        <v>5071</v>
      </c>
    </row>
    <row r="5166" spans="1:3" x14ac:dyDescent="0.25">
      <c r="A5166" t="str">
        <f>"0611834563100"</f>
        <v>0611834563100</v>
      </c>
      <c r="B5166" t="str">
        <f>"LK0140"</f>
        <v>LK0140</v>
      </c>
      <c r="C5166" t="s">
        <v>5072</v>
      </c>
    </row>
    <row r="5167" spans="1:3" x14ac:dyDescent="0.25">
      <c r="A5167" t="str">
        <f>"0611834564100"</f>
        <v>0611834564100</v>
      </c>
      <c r="B5167" t="str">
        <f>"LK3821"</f>
        <v>LK3821</v>
      </c>
      <c r="C5167" t="s">
        <v>5073</v>
      </c>
    </row>
    <row r="5168" spans="1:3" x14ac:dyDescent="0.25">
      <c r="A5168" t="str">
        <f>"0611856956100"</f>
        <v>0611856956100</v>
      </c>
      <c r="B5168" t="str">
        <f>"LK7087"</f>
        <v>LK7087</v>
      </c>
      <c r="C5168" t="s">
        <v>5074</v>
      </c>
    </row>
    <row r="5169" spans="1:3" x14ac:dyDescent="0.25">
      <c r="A5169" t="str">
        <f>"0611834565100"</f>
        <v>0611834565100</v>
      </c>
      <c r="B5169" t="str">
        <f>"LK0141"</f>
        <v>LK0141</v>
      </c>
      <c r="C5169" t="s">
        <v>5075</v>
      </c>
    </row>
    <row r="5170" spans="1:3" x14ac:dyDescent="0.25">
      <c r="A5170" t="str">
        <f>"0611834566100"</f>
        <v>0611834566100</v>
      </c>
      <c r="B5170" t="str">
        <f>"LK3323"</f>
        <v>LK3323</v>
      </c>
      <c r="C5170" t="s">
        <v>5076</v>
      </c>
    </row>
    <row r="5171" spans="1:3" x14ac:dyDescent="0.25">
      <c r="A5171" t="str">
        <f>"0611834567100"</f>
        <v>0611834567100</v>
      </c>
      <c r="B5171" t="str">
        <f>"LK0142"</f>
        <v>LK0142</v>
      </c>
      <c r="C5171" t="s">
        <v>5077</v>
      </c>
    </row>
    <row r="5172" spans="1:3" x14ac:dyDescent="0.25">
      <c r="A5172" t="str">
        <f>"0611856957100"</f>
        <v>0611856957100</v>
      </c>
      <c r="B5172" t="str">
        <f>"LK7088"</f>
        <v>LK7088</v>
      </c>
      <c r="C5172" t="s">
        <v>5078</v>
      </c>
    </row>
    <row r="5173" spans="1:3" x14ac:dyDescent="0.25">
      <c r="A5173" t="str">
        <f>"0611834568100"</f>
        <v>0611834568100</v>
      </c>
      <c r="B5173" t="str">
        <f>"LK0143"</f>
        <v>LK0143</v>
      </c>
      <c r="C5173" t="s">
        <v>5079</v>
      </c>
    </row>
    <row r="5174" spans="1:3" x14ac:dyDescent="0.25">
      <c r="A5174" t="str">
        <f>"0611834569100"</f>
        <v>0611834569100</v>
      </c>
      <c r="B5174" t="str">
        <f>"LK1562"</f>
        <v>LK1562</v>
      </c>
      <c r="C5174" t="s">
        <v>5080</v>
      </c>
    </row>
    <row r="5175" spans="1:3" x14ac:dyDescent="0.25">
      <c r="A5175" t="str">
        <f>"0611834571100"</f>
        <v>0611834571100</v>
      </c>
      <c r="B5175" t="str">
        <f>"LB2685"</f>
        <v>LB2685</v>
      </c>
      <c r="C5175" t="s">
        <v>5081</v>
      </c>
    </row>
    <row r="5176" spans="1:3" x14ac:dyDescent="0.25">
      <c r="A5176" t="str">
        <f>"0611834573100"</f>
        <v>0611834573100</v>
      </c>
      <c r="B5176" t="str">
        <f>"LQ9007"</f>
        <v>LQ9007</v>
      </c>
      <c r="C5176" t="s">
        <v>5082</v>
      </c>
    </row>
    <row r="5177" spans="1:3" x14ac:dyDescent="0.25">
      <c r="A5177" t="str">
        <f>"0611834575100"</f>
        <v>0611834575100</v>
      </c>
      <c r="B5177" t="str">
        <f>"LQ9014"</f>
        <v>LQ9014</v>
      </c>
      <c r="C5177" t="s">
        <v>5083</v>
      </c>
    </row>
    <row r="5178" spans="1:3" x14ac:dyDescent="0.25">
      <c r="A5178" t="str">
        <f>"0611834576100"</f>
        <v>0611834576100</v>
      </c>
      <c r="B5178" t="str">
        <f>"LQ9011"</f>
        <v>LQ9011</v>
      </c>
      <c r="C5178" t="s">
        <v>5084</v>
      </c>
    </row>
    <row r="5179" spans="1:3" x14ac:dyDescent="0.25">
      <c r="A5179" t="str">
        <f>"0611884223100"</f>
        <v>0611884223100</v>
      </c>
      <c r="B5179" t="str">
        <f>"LQ3934"</f>
        <v>LQ3934</v>
      </c>
      <c r="C5179" t="s">
        <v>5085</v>
      </c>
    </row>
    <row r="5180" spans="1:3" x14ac:dyDescent="0.25">
      <c r="A5180" t="str">
        <f>"0611834578100"</f>
        <v>0611834578100</v>
      </c>
      <c r="B5180" t="str">
        <f>"LB3241"</f>
        <v>LB3241</v>
      </c>
      <c r="C5180" t="s">
        <v>5086</v>
      </c>
    </row>
    <row r="5181" spans="1:3" x14ac:dyDescent="0.25">
      <c r="A5181" t="str">
        <f>"0611834579100"</f>
        <v>0611834579100</v>
      </c>
      <c r="B5181" t="str">
        <f>"LK0709"</f>
        <v>LK0709</v>
      </c>
      <c r="C5181" t="s">
        <v>5087</v>
      </c>
    </row>
    <row r="5182" spans="1:3" x14ac:dyDescent="0.25">
      <c r="A5182" t="str">
        <f>"0611834580100"</f>
        <v>0611834580100</v>
      </c>
      <c r="B5182" t="str">
        <f>"LK6819"</f>
        <v>LK6819</v>
      </c>
      <c r="C5182" t="s">
        <v>5088</v>
      </c>
    </row>
    <row r="5183" spans="1:3" x14ac:dyDescent="0.25">
      <c r="A5183" t="str">
        <f>"0611834585100"</f>
        <v>0611834585100</v>
      </c>
      <c r="B5183" t="str">
        <f>"LK6824"</f>
        <v>LK6824</v>
      </c>
      <c r="C5183" t="s">
        <v>5089</v>
      </c>
    </row>
    <row r="5184" spans="1:3" x14ac:dyDescent="0.25">
      <c r="A5184" t="str">
        <f>"0611837482025"</f>
        <v>0611837482025</v>
      </c>
      <c r="B5184" t="str">
        <f>"MC2343"</f>
        <v>MC2343</v>
      </c>
      <c r="C5184" t="s">
        <v>5090</v>
      </c>
    </row>
    <row r="5185" spans="1:3" x14ac:dyDescent="0.25">
      <c r="A5185" t="str">
        <f>"0611862120050"</f>
        <v>0611862120050</v>
      </c>
      <c r="B5185" t="str">
        <f>"CE0667"</f>
        <v>CE0667</v>
      </c>
      <c r="C5185" t="s">
        <v>5091</v>
      </c>
    </row>
    <row r="5186" spans="1:3" x14ac:dyDescent="0.25">
      <c r="A5186" t="str">
        <f>"0611862121050"</f>
        <v>0611862121050</v>
      </c>
      <c r="B5186" t="str">
        <f>"CE0668"</f>
        <v>CE0668</v>
      </c>
      <c r="C5186" t="s">
        <v>5092</v>
      </c>
    </row>
    <row r="5187" spans="1:3" x14ac:dyDescent="0.25">
      <c r="A5187" t="str">
        <f>"0611862122050"</f>
        <v>0611862122050</v>
      </c>
      <c r="B5187" t="str">
        <f>"CE0670"</f>
        <v>CE0670</v>
      </c>
      <c r="C5187" t="s">
        <v>5093</v>
      </c>
    </row>
    <row r="5188" spans="1:3" x14ac:dyDescent="0.25">
      <c r="A5188" t="str">
        <f>"0611862123050"</f>
        <v>0611862123050</v>
      </c>
      <c r="B5188" t="str">
        <f>"CE0672"</f>
        <v>CE0672</v>
      </c>
      <c r="C5188" t="s">
        <v>5094</v>
      </c>
    </row>
    <row r="5189" spans="1:3" x14ac:dyDescent="0.25">
      <c r="A5189" t="str">
        <f>"0611862124050"</f>
        <v>0611862124050</v>
      </c>
      <c r="B5189" t="str">
        <f>"CE0682"</f>
        <v>CE0682</v>
      </c>
      <c r="C5189" t="s">
        <v>5095</v>
      </c>
    </row>
    <row r="5190" spans="1:3" x14ac:dyDescent="0.25">
      <c r="A5190" t="str">
        <f>"0611862125050"</f>
        <v>0611862125050</v>
      </c>
      <c r="B5190" t="str">
        <f>"CE0930"</f>
        <v>CE0930</v>
      </c>
      <c r="C5190" t="s">
        <v>5096</v>
      </c>
    </row>
    <row r="5191" spans="1:3" x14ac:dyDescent="0.25">
      <c r="A5191" t="str">
        <f>"0611862126050"</f>
        <v>0611862126050</v>
      </c>
      <c r="B5191" t="str">
        <f>"CE0931"</f>
        <v>CE0931</v>
      </c>
      <c r="C5191" t="s">
        <v>5097</v>
      </c>
    </row>
    <row r="5192" spans="1:3" x14ac:dyDescent="0.25">
      <c r="A5192" t="str">
        <f>"0611862127050"</f>
        <v>0611862127050</v>
      </c>
      <c r="B5192" t="str">
        <f>"CE0673"</f>
        <v>CE0673</v>
      </c>
      <c r="C5192" t="s">
        <v>5098</v>
      </c>
    </row>
    <row r="5193" spans="1:3" x14ac:dyDescent="0.25">
      <c r="A5193" t="str">
        <f>"0611862128050"</f>
        <v>0611862128050</v>
      </c>
      <c r="B5193" t="str">
        <f>"CE0674"</f>
        <v>CE0674</v>
      </c>
      <c r="C5193" t="s">
        <v>5099</v>
      </c>
    </row>
    <row r="5194" spans="1:3" x14ac:dyDescent="0.25">
      <c r="A5194" t="str">
        <f>"0611862129050"</f>
        <v>0611862129050</v>
      </c>
      <c r="B5194" t="str">
        <f>"CE0675"</f>
        <v>CE0675</v>
      </c>
      <c r="C5194" t="s">
        <v>5100</v>
      </c>
    </row>
    <row r="5195" spans="1:3" x14ac:dyDescent="0.25">
      <c r="A5195" t="str">
        <f>"0611862130050"</f>
        <v>0611862130050</v>
      </c>
      <c r="B5195" t="str">
        <f>"CE0676"</f>
        <v>CE0676</v>
      </c>
      <c r="C5195" t="s">
        <v>5101</v>
      </c>
    </row>
    <row r="5196" spans="1:3" x14ac:dyDescent="0.25">
      <c r="A5196" t="str">
        <f>"0611862132050"</f>
        <v>0611862132050</v>
      </c>
      <c r="B5196" t="str">
        <f>"CE0677"</f>
        <v>CE0677</v>
      </c>
      <c r="C5196" t="s">
        <v>5102</v>
      </c>
    </row>
    <row r="5197" spans="1:3" x14ac:dyDescent="0.25">
      <c r="A5197" t="str">
        <f>"0611862133050"</f>
        <v>0611862133050</v>
      </c>
      <c r="B5197" t="str">
        <f>"CE0678"</f>
        <v>CE0678</v>
      </c>
      <c r="C5197" t="s">
        <v>5103</v>
      </c>
    </row>
    <row r="5198" spans="1:3" x14ac:dyDescent="0.25">
      <c r="A5198" t="str">
        <f>"0611862134050"</f>
        <v>0611862134050</v>
      </c>
      <c r="B5198" t="str">
        <f>"CE1426"</f>
        <v>CE1426</v>
      </c>
      <c r="C5198" t="s">
        <v>13841</v>
      </c>
    </row>
    <row r="5199" spans="1:3" x14ac:dyDescent="0.25">
      <c r="A5199" t="str">
        <f>"0611862135050"</f>
        <v>0611862135050</v>
      </c>
      <c r="B5199" t="str">
        <f>"CE1481"</f>
        <v>CE1481</v>
      </c>
      <c r="C5199" t="s">
        <v>5104</v>
      </c>
    </row>
    <row r="5200" spans="1:3" x14ac:dyDescent="0.25">
      <c r="A5200" t="str">
        <f>"0611862136050"</f>
        <v>0611862136050</v>
      </c>
      <c r="B5200" t="str">
        <f>"CE0679"</f>
        <v>CE0679</v>
      </c>
      <c r="C5200" t="s">
        <v>5105</v>
      </c>
    </row>
    <row r="5201" spans="1:3" x14ac:dyDescent="0.25">
      <c r="A5201" t="str">
        <f>"0611862137050"</f>
        <v>0611862137050</v>
      </c>
      <c r="B5201" t="str">
        <f>"CE1341"</f>
        <v>CE1341</v>
      </c>
      <c r="C5201" t="s">
        <v>5106</v>
      </c>
    </row>
    <row r="5202" spans="1:3" x14ac:dyDescent="0.25">
      <c r="A5202" t="str">
        <f>"0611862138050"</f>
        <v>0611862138050</v>
      </c>
      <c r="B5202" t="str">
        <f>"CE0680"</f>
        <v>CE0680</v>
      </c>
      <c r="C5202" t="s">
        <v>5107</v>
      </c>
    </row>
    <row r="5203" spans="1:3" x14ac:dyDescent="0.25">
      <c r="A5203" t="str">
        <f>"0611862139050"</f>
        <v>0611862139050</v>
      </c>
      <c r="B5203" t="str">
        <f>"CE0681"</f>
        <v>CE0681</v>
      </c>
      <c r="C5203" t="s">
        <v>5108</v>
      </c>
    </row>
    <row r="5204" spans="1:3" x14ac:dyDescent="0.25">
      <c r="A5204" t="str">
        <f>"0611837169100"</f>
        <v>0611837169100</v>
      </c>
      <c r="B5204" t="str">
        <f>"LK5237"</f>
        <v>LK5237</v>
      </c>
      <c r="C5204" t="s">
        <v>5109</v>
      </c>
    </row>
    <row r="5205" spans="1:3" x14ac:dyDescent="0.25">
      <c r="A5205" t="str">
        <f>"0611906763100"</f>
        <v>0611906763100</v>
      </c>
      <c r="B5205" t="str">
        <f>"LQ3975"</f>
        <v>LQ3975</v>
      </c>
      <c r="C5205" t="s">
        <v>5110</v>
      </c>
    </row>
    <row r="5206" spans="1:3" x14ac:dyDescent="0.25">
      <c r="A5206" t="str">
        <f>"0611837170100"</f>
        <v>0611837170100</v>
      </c>
      <c r="B5206" t="str">
        <f>"LK6747"</f>
        <v>LK6747</v>
      </c>
      <c r="C5206" t="s">
        <v>5111</v>
      </c>
    </row>
    <row r="5207" spans="1:3" x14ac:dyDescent="0.25">
      <c r="A5207" t="str">
        <f>"0611856958100"</f>
        <v>0611856958100</v>
      </c>
      <c r="B5207" t="str">
        <f>"LC3411"</f>
        <v>LC3411</v>
      </c>
      <c r="C5207" t="s">
        <v>5112</v>
      </c>
    </row>
    <row r="5208" spans="1:3" x14ac:dyDescent="0.25">
      <c r="A5208" t="str">
        <f>"0611837171100"</f>
        <v>0611837171100</v>
      </c>
      <c r="B5208" t="str">
        <f>"LC6662"</f>
        <v>LC6662</v>
      </c>
      <c r="C5208" t="s">
        <v>5113</v>
      </c>
    </row>
    <row r="5209" spans="1:3" x14ac:dyDescent="0.25">
      <c r="A5209" t="str">
        <f>"0611906764025"</f>
        <v>0611906764025</v>
      </c>
      <c r="B5209" t="str">
        <f>"MQ7122"</f>
        <v>MQ7122</v>
      </c>
      <c r="C5209" t="s">
        <v>5114</v>
      </c>
    </row>
    <row r="5210" spans="1:3" x14ac:dyDescent="0.25">
      <c r="A5210" t="str">
        <f>"0611906765025"</f>
        <v>0611906765025</v>
      </c>
      <c r="B5210" t="str">
        <f>"MC4201"</f>
        <v>MC4201</v>
      </c>
      <c r="C5210" t="s">
        <v>5115</v>
      </c>
    </row>
    <row r="5211" spans="1:3" x14ac:dyDescent="0.25">
      <c r="A5211" t="str">
        <f>"0611884227100"</f>
        <v>0611884227100</v>
      </c>
      <c r="B5211" t="str">
        <f>"LK7163"</f>
        <v>LK7163</v>
      </c>
      <c r="C5211" t="s">
        <v>5116</v>
      </c>
    </row>
    <row r="5212" spans="1:3" x14ac:dyDescent="0.25">
      <c r="A5212" t="str">
        <f>"0611862140050"</f>
        <v>0611862140050</v>
      </c>
      <c r="B5212" t="str">
        <f>"CR4979"</f>
        <v>CR4979</v>
      </c>
      <c r="C5212" t="s">
        <v>5117</v>
      </c>
    </row>
    <row r="5213" spans="1:3" x14ac:dyDescent="0.25">
      <c r="A5213" t="str">
        <f>"0611862141050"</f>
        <v>0611862141050</v>
      </c>
      <c r="B5213" t="str">
        <f>"CR3079"</f>
        <v>CR3079</v>
      </c>
      <c r="C5213" t="s">
        <v>5118</v>
      </c>
    </row>
    <row r="5214" spans="1:3" x14ac:dyDescent="0.25">
      <c r="A5214" t="str">
        <f>"0611862142050"</f>
        <v>0611862142050</v>
      </c>
      <c r="B5214" t="str">
        <f>"CR3901"</f>
        <v>CR3901</v>
      </c>
      <c r="C5214" t="s">
        <v>5119</v>
      </c>
    </row>
    <row r="5215" spans="1:3" x14ac:dyDescent="0.25">
      <c r="A5215" t="str">
        <f>"0611862143050"</f>
        <v>0611862143050</v>
      </c>
      <c r="B5215" t="str">
        <f>"CR2222"</f>
        <v>CR2222</v>
      </c>
      <c r="C5215" t="s">
        <v>5120</v>
      </c>
    </row>
    <row r="5216" spans="1:3" x14ac:dyDescent="0.25">
      <c r="A5216" t="str">
        <f>"0611862144050"</f>
        <v>0611862144050</v>
      </c>
      <c r="B5216" t="str">
        <f>"CR2223"</f>
        <v>CR2223</v>
      </c>
      <c r="C5216" t="s">
        <v>5121</v>
      </c>
    </row>
    <row r="5217" spans="1:3" x14ac:dyDescent="0.25">
      <c r="A5217" t="str">
        <f>"0611862145050"</f>
        <v>0611862145050</v>
      </c>
      <c r="B5217" t="str">
        <f>"CR2224"</f>
        <v>CR2224</v>
      </c>
      <c r="C5217" t="s">
        <v>5122</v>
      </c>
    </row>
    <row r="5218" spans="1:3" x14ac:dyDescent="0.25">
      <c r="A5218" t="str">
        <f>"0611884228050"</f>
        <v>0611884228050</v>
      </c>
      <c r="B5218" t="str">
        <f>"CR5381"</f>
        <v>CR5381</v>
      </c>
      <c r="C5218" t="s">
        <v>5123</v>
      </c>
    </row>
    <row r="5219" spans="1:3" x14ac:dyDescent="0.25">
      <c r="A5219" t="str">
        <f>"0611862146050"</f>
        <v>0611862146050</v>
      </c>
      <c r="B5219" t="str">
        <f>"CR4980"</f>
        <v>CR4980</v>
      </c>
      <c r="C5219" t="s">
        <v>5124</v>
      </c>
    </row>
    <row r="5220" spans="1:3" x14ac:dyDescent="0.25">
      <c r="A5220" t="str">
        <f>"0611862147050"</f>
        <v>0611862147050</v>
      </c>
      <c r="B5220" t="str">
        <f>"CR4842"</f>
        <v>CR4842</v>
      </c>
      <c r="C5220" t="s">
        <v>5125</v>
      </c>
    </row>
    <row r="5221" spans="1:3" x14ac:dyDescent="0.25">
      <c r="A5221" t="str">
        <f>"0611862148050"</f>
        <v>0611862148050</v>
      </c>
      <c r="B5221" t="str">
        <f>"CR5186"</f>
        <v>CR5186</v>
      </c>
      <c r="C5221" t="s">
        <v>5126</v>
      </c>
    </row>
    <row r="5222" spans="1:3" x14ac:dyDescent="0.25">
      <c r="A5222" t="str">
        <f>"0611862149050"</f>
        <v>0611862149050</v>
      </c>
      <c r="B5222" t="str">
        <f>"CR4527"</f>
        <v>CR4527</v>
      </c>
      <c r="C5222" t="s">
        <v>5127</v>
      </c>
    </row>
    <row r="5223" spans="1:3" x14ac:dyDescent="0.25">
      <c r="A5223" t="str">
        <f>"0611884229050"</f>
        <v>0611884229050</v>
      </c>
      <c r="B5223" t="str">
        <f>"CR5420"</f>
        <v>CR5420</v>
      </c>
      <c r="C5223" t="s">
        <v>5128</v>
      </c>
    </row>
    <row r="5224" spans="1:3" x14ac:dyDescent="0.25">
      <c r="A5224" t="str">
        <f>"0611837211100"</f>
        <v>0611837211100</v>
      </c>
      <c r="B5224" t="str">
        <f>"LS0021"</f>
        <v>LS0021</v>
      </c>
      <c r="C5224" t="s">
        <v>5261</v>
      </c>
    </row>
    <row r="5225" spans="1:3" x14ac:dyDescent="0.25">
      <c r="A5225" t="str">
        <f>"0611834587025"</f>
        <v>0611834587025</v>
      </c>
      <c r="B5225" t="str">
        <f>"MC0302"</f>
        <v>MC0302</v>
      </c>
      <c r="C5225" t="s">
        <v>5129</v>
      </c>
    </row>
    <row r="5226" spans="1:3" x14ac:dyDescent="0.25">
      <c r="A5226" t="str">
        <f>"0611906766025"</f>
        <v>0611906766025</v>
      </c>
      <c r="B5226" t="str">
        <f>"MQ7500"</f>
        <v>MQ7500</v>
      </c>
      <c r="C5226" t="s">
        <v>5131</v>
      </c>
    </row>
    <row r="5227" spans="1:3" x14ac:dyDescent="0.25">
      <c r="A5227" t="str">
        <f>"0611862151050"</f>
        <v>0611862151050</v>
      </c>
      <c r="B5227" t="str">
        <f>"CE0639"</f>
        <v>CE0639</v>
      </c>
      <c r="C5227" t="s">
        <v>5130</v>
      </c>
    </row>
    <row r="5228" spans="1:3" x14ac:dyDescent="0.25">
      <c r="A5228" t="str">
        <f>"0611906767025"</f>
        <v>0611906767025</v>
      </c>
      <c r="B5228" t="str">
        <f>"MQ7123"</f>
        <v>MQ7123</v>
      </c>
      <c r="C5228" t="s">
        <v>5132</v>
      </c>
    </row>
    <row r="5229" spans="1:3" x14ac:dyDescent="0.25">
      <c r="A5229" t="str">
        <f>"0611837173100"</f>
        <v>0611837173100</v>
      </c>
      <c r="B5229" t="str">
        <f>"LS0022"</f>
        <v>LS0022</v>
      </c>
      <c r="C5229" t="s">
        <v>5139</v>
      </c>
    </row>
    <row r="5230" spans="1:3" x14ac:dyDescent="0.25">
      <c r="A5230" t="str">
        <f>"0611837174100"</f>
        <v>0611837174100</v>
      </c>
      <c r="B5230" t="str">
        <f>"LS0023"</f>
        <v>LS0023</v>
      </c>
      <c r="C5230" t="s">
        <v>5140</v>
      </c>
    </row>
    <row r="5231" spans="1:3" x14ac:dyDescent="0.25">
      <c r="A5231" t="str">
        <f>"0611862156050"</f>
        <v>0611862156050</v>
      </c>
      <c r="B5231" t="str">
        <f>"CR2227"</f>
        <v>CR2227</v>
      </c>
      <c r="C5231" t="s">
        <v>5133</v>
      </c>
    </row>
    <row r="5232" spans="1:3" x14ac:dyDescent="0.25">
      <c r="A5232" t="str">
        <f>"0611862157050"</f>
        <v>0611862157050</v>
      </c>
      <c r="B5232" t="str">
        <f>"CR2228"</f>
        <v>CR2228</v>
      </c>
      <c r="C5232" t="s">
        <v>5134</v>
      </c>
    </row>
    <row r="5233" spans="1:3" x14ac:dyDescent="0.25">
      <c r="A5233" t="str">
        <f>"0611862158050"</f>
        <v>0611862158050</v>
      </c>
      <c r="B5233" t="str">
        <f>"CR2229"</f>
        <v>CR2229</v>
      </c>
      <c r="C5233" t="s">
        <v>5135</v>
      </c>
    </row>
    <row r="5234" spans="1:3" x14ac:dyDescent="0.25">
      <c r="A5234" t="str">
        <f>"0611862159050"</f>
        <v>0611862159050</v>
      </c>
      <c r="B5234" t="str">
        <f>"CR2231"</f>
        <v>CR2231</v>
      </c>
      <c r="C5234" t="s">
        <v>5136</v>
      </c>
    </row>
    <row r="5235" spans="1:3" x14ac:dyDescent="0.25">
      <c r="A5235" t="str">
        <f>"0611862155050"</f>
        <v>0611862155050</v>
      </c>
      <c r="B5235" t="str">
        <f>"CR2233"</f>
        <v>CR2233</v>
      </c>
      <c r="C5235" t="s">
        <v>5137</v>
      </c>
    </row>
    <row r="5236" spans="1:3" x14ac:dyDescent="0.25">
      <c r="A5236" t="str">
        <f>"0611834588025"</f>
        <v>0611834588025</v>
      </c>
      <c r="B5236" t="str">
        <f>"MC2839"</f>
        <v>MC2839</v>
      </c>
      <c r="C5236" t="s">
        <v>5138</v>
      </c>
    </row>
    <row r="5237" spans="1:3" x14ac:dyDescent="0.25">
      <c r="A5237" t="str">
        <f>"0611837175100"</f>
        <v>0611837175100</v>
      </c>
      <c r="B5237" t="str">
        <f>"LK1563"</f>
        <v>LK1563</v>
      </c>
      <c r="C5237" t="s">
        <v>5141</v>
      </c>
    </row>
    <row r="5238" spans="1:3" x14ac:dyDescent="0.25">
      <c r="A5238" t="str">
        <f>"0611837176100"</f>
        <v>0611837176100</v>
      </c>
      <c r="B5238" t="str">
        <f>"LK1564"</f>
        <v>LK1564</v>
      </c>
      <c r="C5238" t="s">
        <v>5142</v>
      </c>
    </row>
    <row r="5239" spans="1:3" x14ac:dyDescent="0.25">
      <c r="A5239" t="str">
        <f>"0611837177100"</f>
        <v>0611837177100</v>
      </c>
      <c r="B5239" t="str">
        <f>"LK4177"</f>
        <v>LK4177</v>
      </c>
      <c r="C5239" t="s">
        <v>5143</v>
      </c>
    </row>
    <row r="5240" spans="1:3" x14ac:dyDescent="0.25">
      <c r="A5240" t="str">
        <f>"0611837178100"</f>
        <v>0611837178100</v>
      </c>
      <c r="B5240" t="str">
        <f>"LK4996"</f>
        <v>LK4996</v>
      </c>
      <c r="C5240" t="s">
        <v>5144</v>
      </c>
    </row>
    <row r="5241" spans="1:3" x14ac:dyDescent="0.25">
      <c r="A5241" t="str">
        <f>"0611837179100"</f>
        <v>0611837179100</v>
      </c>
      <c r="B5241" t="str">
        <f>"LK1565"</f>
        <v>LK1565</v>
      </c>
      <c r="C5241" t="s">
        <v>5145</v>
      </c>
    </row>
    <row r="5242" spans="1:3" x14ac:dyDescent="0.25">
      <c r="A5242" t="str">
        <f>"0611837180100"</f>
        <v>0611837180100</v>
      </c>
      <c r="B5242" t="str">
        <f>"LK1566"</f>
        <v>LK1566</v>
      </c>
      <c r="C5242" t="s">
        <v>5146</v>
      </c>
    </row>
    <row r="5243" spans="1:3" x14ac:dyDescent="0.25">
      <c r="A5243" t="str">
        <f>"0611893599050"</f>
        <v>0611893599050</v>
      </c>
      <c r="B5243" t="str">
        <f>"CE1774"</f>
        <v>CE1774</v>
      </c>
      <c r="C5243" t="s">
        <v>5147</v>
      </c>
    </row>
    <row r="5244" spans="1:3" x14ac:dyDescent="0.25">
      <c r="A5244" t="str">
        <f>"0611862160050"</f>
        <v>0611862160050</v>
      </c>
      <c r="B5244" t="str">
        <f>"CE1659"</f>
        <v>CE1659</v>
      </c>
      <c r="C5244" t="s">
        <v>5148</v>
      </c>
    </row>
    <row r="5245" spans="1:3" x14ac:dyDescent="0.25">
      <c r="A5245" t="str">
        <f>"0611862161050"</f>
        <v>0611862161050</v>
      </c>
      <c r="B5245" t="str">
        <f>"CE1439"</f>
        <v>CE1439</v>
      </c>
      <c r="C5245" t="s">
        <v>5149</v>
      </c>
    </row>
    <row r="5246" spans="1:3" x14ac:dyDescent="0.25">
      <c r="A5246" t="str">
        <f>"0611862162050"</f>
        <v>0611862162050</v>
      </c>
      <c r="B5246" t="str">
        <f>"CE1437"</f>
        <v>CE1437</v>
      </c>
      <c r="C5246" t="s">
        <v>5150</v>
      </c>
    </row>
    <row r="5247" spans="1:3" x14ac:dyDescent="0.25">
      <c r="A5247" t="str">
        <f>"0611862163050"</f>
        <v>0611862163050</v>
      </c>
      <c r="B5247" t="str">
        <f>"CE1438"</f>
        <v>CE1438</v>
      </c>
      <c r="C5247" t="s">
        <v>5151</v>
      </c>
    </row>
    <row r="5248" spans="1:3" x14ac:dyDescent="0.25">
      <c r="A5248" t="str">
        <f>"0611862164050"</f>
        <v>0611862164050</v>
      </c>
      <c r="B5248" t="str">
        <f>"CE0925"</f>
        <v>CE0925</v>
      </c>
      <c r="C5248" t="s">
        <v>5152</v>
      </c>
    </row>
    <row r="5249" spans="1:3" x14ac:dyDescent="0.25">
      <c r="A5249" t="str">
        <f>"0611862165050"</f>
        <v>0611862165050</v>
      </c>
      <c r="B5249" t="str">
        <f>"CE0626"</f>
        <v>CE0626</v>
      </c>
      <c r="C5249" t="s">
        <v>5153</v>
      </c>
    </row>
    <row r="5250" spans="1:3" x14ac:dyDescent="0.25">
      <c r="A5250" t="str">
        <f>"0611862166050"</f>
        <v>0611862166050</v>
      </c>
      <c r="B5250" t="str">
        <f>"CE0627"</f>
        <v>CE0627</v>
      </c>
      <c r="C5250" t="s">
        <v>5154</v>
      </c>
    </row>
    <row r="5251" spans="1:3" x14ac:dyDescent="0.25">
      <c r="A5251" t="str">
        <f>"0611862167050"</f>
        <v>0611862167050</v>
      </c>
      <c r="B5251" t="str">
        <f>"CE0628"</f>
        <v>CE0628</v>
      </c>
      <c r="C5251" t="s">
        <v>5155</v>
      </c>
    </row>
    <row r="5252" spans="1:3" x14ac:dyDescent="0.25">
      <c r="A5252" t="str">
        <f>"0611862168050"</f>
        <v>0611862168050</v>
      </c>
      <c r="B5252" t="str">
        <f>"CE0629"</f>
        <v>CE0629</v>
      </c>
      <c r="C5252" t="s">
        <v>5156</v>
      </c>
    </row>
    <row r="5253" spans="1:3" x14ac:dyDescent="0.25">
      <c r="A5253" t="str">
        <f>"0611862170050"</f>
        <v>0611862170050</v>
      </c>
      <c r="B5253" t="str">
        <f>"CE0630"</f>
        <v>CE0630</v>
      </c>
      <c r="C5253" t="s">
        <v>5157</v>
      </c>
    </row>
    <row r="5254" spans="1:3" x14ac:dyDescent="0.25">
      <c r="A5254" t="str">
        <f>"0611862171050"</f>
        <v>0611862171050</v>
      </c>
      <c r="B5254" t="str">
        <f>"CE0631"</f>
        <v>CE0631</v>
      </c>
      <c r="C5254" t="s">
        <v>5158</v>
      </c>
    </row>
    <row r="5255" spans="1:3" x14ac:dyDescent="0.25">
      <c r="A5255" t="str">
        <f>"0611862172050"</f>
        <v>0611862172050</v>
      </c>
      <c r="B5255" t="str">
        <f>"CE0632"</f>
        <v>CE0632</v>
      </c>
      <c r="C5255" t="s">
        <v>5159</v>
      </c>
    </row>
    <row r="5256" spans="1:3" x14ac:dyDescent="0.25">
      <c r="A5256" t="str">
        <f>"0611862173050"</f>
        <v>0611862173050</v>
      </c>
      <c r="B5256" t="str">
        <f>"CE1100"</f>
        <v>CE1100</v>
      </c>
      <c r="C5256" t="s">
        <v>5160</v>
      </c>
    </row>
    <row r="5257" spans="1:3" x14ac:dyDescent="0.25">
      <c r="A5257" t="str">
        <f>"0611862174050"</f>
        <v>0611862174050</v>
      </c>
      <c r="B5257" t="str">
        <f>"CE1743"</f>
        <v>CE1743</v>
      </c>
      <c r="C5257" t="s">
        <v>5161</v>
      </c>
    </row>
    <row r="5258" spans="1:3" x14ac:dyDescent="0.25">
      <c r="A5258" t="str">
        <f>"0611862175050"</f>
        <v>0611862175050</v>
      </c>
      <c r="B5258" t="str">
        <f>"CE0633"</f>
        <v>CE0633</v>
      </c>
      <c r="C5258" t="s">
        <v>5162</v>
      </c>
    </row>
    <row r="5259" spans="1:3" x14ac:dyDescent="0.25">
      <c r="A5259" t="str">
        <f>"0611862176050"</f>
        <v>0611862176050</v>
      </c>
      <c r="B5259" t="str">
        <f>"CE1280"</f>
        <v>CE1280</v>
      </c>
      <c r="C5259" t="s">
        <v>5163</v>
      </c>
    </row>
    <row r="5260" spans="1:3" x14ac:dyDescent="0.25">
      <c r="A5260" t="str">
        <f>"0611862177050"</f>
        <v>0611862177050</v>
      </c>
      <c r="B5260" t="str">
        <f>"CE0634"</f>
        <v>CE0634</v>
      </c>
      <c r="C5260" t="s">
        <v>5164</v>
      </c>
    </row>
    <row r="5261" spans="1:3" x14ac:dyDescent="0.25">
      <c r="A5261" t="str">
        <f>"0611893600050"</f>
        <v>0611893600050</v>
      </c>
      <c r="B5261" t="str">
        <f>"CE1773"</f>
        <v>CE1773</v>
      </c>
      <c r="C5261" t="s">
        <v>5165</v>
      </c>
    </row>
    <row r="5262" spans="1:3" x14ac:dyDescent="0.25">
      <c r="A5262" t="str">
        <f>"0611862178050"</f>
        <v>0611862178050</v>
      </c>
      <c r="B5262" t="str">
        <f>"CE1182"</f>
        <v>CE1182</v>
      </c>
      <c r="C5262" t="s">
        <v>5166</v>
      </c>
    </row>
    <row r="5263" spans="1:3" x14ac:dyDescent="0.25">
      <c r="A5263" t="str">
        <f>"0611862179050"</f>
        <v>0611862179050</v>
      </c>
      <c r="B5263" t="str">
        <f>"CE1183"</f>
        <v>CE1183</v>
      </c>
      <c r="C5263" t="s">
        <v>5167</v>
      </c>
    </row>
    <row r="5264" spans="1:3" x14ac:dyDescent="0.25">
      <c r="A5264" t="str">
        <f>"0611862181050"</f>
        <v>0611862181050</v>
      </c>
      <c r="B5264" t="str">
        <f>"CE1184"</f>
        <v>CE1184</v>
      </c>
      <c r="C5264" t="s">
        <v>5169</v>
      </c>
    </row>
    <row r="5265" spans="1:3" x14ac:dyDescent="0.25">
      <c r="A5265" t="str">
        <f>"0611862180050"</f>
        <v>0611862180050</v>
      </c>
      <c r="B5265" t="str">
        <f>"CE1190"</f>
        <v>CE1190</v>
      </c>
      <c r="C5265" t="s">
        <v>5168</v>
      </c>
    </row>
    <row r="5266" spans="1:3" x14ac:dyDescent="0.25">
      <c r="A5266" t="str">
        <f>"0611862182050"</f>
        <v>0611862182050</v>
      </c>
      <c r="B5266" t="str">
        <f>"CE1106"</f>
        <v>CE1106</v>
      </c>
      <c r="C5266" t="s">
        <v>5170</v>
      </c>
    </row>
    <row r="5267" spans="1:3" x14ac:dyDescent="0.25">
      <c r="A5267" t="str">
        <f>"0611862183050"</f>
        <v>0611862183050</v>
      </c>
      <c r="B5267" t="str">
        <f>"CE1281"</f>
        <v>CE1281</v>
      </c>
      <c r="C5267" t="s">
        <v>5171</v>
      </c>
    </row>
    <row r="5268" spans="1:3" x14ac:dyDescent="0.25">
      <c r="A5268" t="str">
        <f>"0611862184050"</f>
        <v>0611862184050</v>
      </c>
      <c r="B5268" t="str">
        <f>"CE0926"</f>
        <v>CE0926</v>
      </c>
      <c r="C5268" t="s">
        <v>5172</v>
      </c>
    </row>
    <row r="5269" spans="1:3" x14ac:dyDescent="0.25">
      <c r="A5269" t="str">
        <f>"0611862185050"</f>
        <v>0611862185050</v>
      </c>
      <c r="B5269" t="str">
        <f>"CE1185"</f>
        <v>CE1185</v>
      </c>
      <c r="C5269" t="s">
        <v>5173</v>
      </c>
    </row>
    <row r="5270" spans="1:3" x14ac:dyDescent="0.25">
      <c r="A5270" t="str">
        <f>"0611862186050"</f>
        <v>0611862186050</v>
      </c>
      <c r="B5270" t="str">
        <f>"CE1186"</f>
        <v>CE1186</v>
      </c>
      <c r="C5270" t="s">
        <v>5174</v>
      </c>
    </row>
    <row r="5271" spans="1:3" x14ac:dyDescent="0.25">
      <c r="A5271" t="str">
        <f>"0611862187050"</f>
        <v>0611862187050</v>
      </c>
      <c r="B5271" t="str">
        <f>"CE1107"</f>
        <v>CE1107</v>
      </c>
      <c r="C5271" t="s">
        <v>5175</v>
      </c>
    </row>
    <row r="5272" spans="1:3" x14ac:dyDescent="0.25">
      <c r="A5272" t="str">
        <f>"0611862188050"</f>
        <v>0611862188050</v>
      </c>
      <c r="B5272" t="str">
        <f>"CE0637"</f>
        <v>CE0637</v>
      </c>
      <c r="C5272" t="s">
        <v>5176</v>
      </c>
    </row>
    <row r="5273" spans="1:3" x14ac:dyDescent="0.25">
      <c r="A5273" t="str">
        <f>"0611862189050"</f>
        <v>0611862189050</v>
      </c>
      <c r="B5273" t="str">
        <f>"CE1606"</f>
        <v>CE1606</v>
      </c>
      <c r="C5273" t="s">
        <v>5177</v>
      </c>
    </row>
    <row r="5274" spans="1:3" x14ac:dyDescent="0.25">
      <c r="A5274" t="str">
        <f>"0611862190050"</f>
        <v>0611862190050</v>
      </c>
      <c r="B5274" t="str">
        <f>"CE1661"</f>
        <v>CE1661</v>
      </c>
      <c r="C5274" t="s">
        <v>5178</v>
      </c>
    </row>
    <row r="5275" spans="1:3" x14ac:dyDescent="0.25">
      <c r="A5275" t="str">
        <f>"0611862191050"</f>
        <v>0611862191050</v>
      </c>
      <c r="B5275" t="str">
        <f>"CE1283"</f>
        <v>CE1283</v>
      </c>
      <c r="C5275" t="s">
        <v>5179</v>
      </c>
    </row>
    <row r="5276" spans="1:3" x14ac:dyDescent="0.25">
      <c r="A5276" t="str">
        <f>"0611862192050"</f>
        <v>0611862192050</v>
      </c>
      <c r="B5276" t="str">
        <f>"CE1109"</f>
        <v>CE1109</v>
      </c>
      <c r="C5276" t="s">
        <v>5180</v>
      </c>
    </row>
    <row r="5277" spans="1:3" x14ac:dyDescent="0.25">
      <c r="A5277" t="str">
        <f>"0611862193050"</f>
        <v>0611862193050</v>
      </c>
      <c r="B5277" t="str">
        <f>"CE1482"</f>
        <v>CE1482</v>
      </c>
      <c r="C5277" t="s">
        <v>5181</v>
      </c>
    </row>
    <row r="5278" spans="1:3" x14ac:dyDescent="0.25">
      <c r="A5278" t="str">
        <f>"0611862194050"</f>
        <v>0611862194050</v>
      </c>
      <c r="B5278" t="str">
        <f>"CE0852"</f>
        <v>CE0852</v>
      </c>
      <c r="C5278" t="s">
        <v>5182</v>
      </c>
    </row>
    <row r="5279" spans="1:3" x14ac:dyDescent="0.25">
      <c r="A5279" t="str">
        <f>"0611862195050"</f>
        <v>0611862195050</v>
      </c>
      <c r="B5279" t="str">
        <f>"CE1282"</f>
        <v>CE1282</v>
      </c>
      <c r="C5279" t="s">
        <v>5183</v>
      </c>
    </row>
    <row r="5280" spans="1:3" x14ac:dyDescent="0.25">
      <c r="A5280" t="str">
        <f>"0611862197050"</f>
        <v>0611862197050</v>
      </c>
      <c r="B5280" t="str">
        <f>"CE1111"</f>
        <v>CE1111</v>
      </c>
      <c r="C5280" t="s">
        <v>5185</v>
      </c>
    </row>
    <row r="5281" spans="1:3" x14ac:dyDescent="0.25">
      <c r="A5281" t="str">
        <f>"0611862196050"</f>
        <v>0611862196050</v>
      </c>
      <c r="B5281" t="str">
        <f>"CE1607"</f>
        <v>CE1607</v>
      </c>
      <c r="C5281" t="s">
        <v>5184</v>
      </c>
    </row>
    <row r="5282" spans="1:3" x14ac:dyDescent="0.25">
      <c r="A5282" t="str">
        <f>"0611862198050"</f>
        <v>0611862198050</v>
      </c>
      <c r="B5282" t="str">
        <f>"CE1110"</f>
        <v>CE1110</v>
      </c>
      <c r="C5282" t="s">
        <v>5186</v>
      </c>
    </row>
    <row r="5283" spans="1:3" x14ac:dyDescent="0.25">
      <c r="A5283" t="str">
        <f>"0611862199050"</f>
        <v>0611862199050</v>
      </c>
      <c r="B5283" t="str">
        <f>"CE0635"</f>
        <v>CE0635</v>
      </c>
      <c r="C5283" t="s">
        <v>5187</v>
      </c>
    </row>
    <row r="5284" spans="1:3" x14ac:dyDescent="0.25">
      <c r="A5284" t="str">
        <f>"0611862200050"</f>
        <v>0611862200050</v>
      </c>
      <c r="B5284" t="str">
        <f>"CE1187"</f>
        <v>CE1187</v>
      </c>
      <c r="C5284" t="s">
        <v>5188</v>
      </c>
    </row>
    <row r="5285" spans="1:3" x14ac:dyDescent="0.25">
      <c r="A5285" t="str">
        <f>"0611862201050"</f>
        <v>0611862201050</v>
      </c>
      <c r="B5285" t="str">
        <f>"CE0636"</f>
        <v>CE0636</v>
      </c>
      <c r="C5285" t="s">
        <v>5189</v>
      </c>
    </row>
    <row r="5286" spans="1:3" x14ac:dyDescent="0.25">
      <c r="A5286" t="str">
        <f>"0611862202050"</f>
        <v>0611862202050</v>
      </c>
      <c r="B5286" t="str">
        <f>"CE1188"</f>
        <v>CE1188</v>
      </c>
      <c r="C5286" t="s">
        <v>13842</v>
      </c>
    </row>
    <row r="5287" spans="1:3" x14ac:dyDescent="0.25">
      <c r="A5287" t="str">
        <f>"0611862203050"</f>
        <v>0611862203050</v>
      </c>
      <c r="B5287" t="str">
        <f>"CE0928"</f>
        <v>CE0928</v>
      </c>
      <c r="C5287" t="s">
        <v>5190</v>
      </c>
    </row>
    <row r="5288" spans="1:3" x14ac:dyDescent="0.25">
      <c r="A5288" t="str">
        <f>"0611862204050"</f>
        <v>0611862204050</v>
      </c>
      <c r="B5288" t="str">
        <f>"CE1206"</f>
        <v>CE1206</v>
      </c>
      <c r="C5288" t="s">
        <v>5191</v>
      </c>
    </row>
    <row r="5289" spans="1:3" x14ac:dyDescent="0.25">
      <c r="A5289" t="str">
        <f>"0611862205050"</f>
        <v>0611862205050</v>
      </c>
      <c r="B5289" t="str">
        <f>"CE1189"</f>
        <v>CE1189</v>
      </c>
      <c r="C5289" t="s">
        <v>5192</v>
      </c>
    </row>
    <row r="5290" spans="1:3" x14ac:dyDescent="0.25">
      <c r="A5290" t="str">
        <f>"0611862206050"</f>
        <v>0611862206050</v>
      </c>
      <c r="B5290" t="str">
        <f>"CE1662"</f>
        <v>CE1662</v>
      </c>
      <c r="C5290" t="s">
        <v>5193</v>
      </c>
    </row>
    <row r="5291" spans="1:3" x14ac:dyDescent="0.25">
      <c r="A5291" t="str">
        <f>"0611862208050"</f>
        <v>0611862208050</v>
      </c>
      <c r="B5291" t="str">
        <f>"CE1112"</f>
        <v>CE1112</v>
      </c>
      <c r="C5291" t="s">
        <v>5194</v>
      </c>
    </row>
    <row r="5292" spans="1:3" x14ac:dyDescent="0.25">
      <c r="A5292" t="str">
        <f>"0611862209050"</f>
        <v>0611862209050</v>
      </c>
      <c r="B5292" t="str">
        <f>"CE1113"</f>
        <v>CE1113</v>
      </c>
      <c r="C5292" t="s">
        <v>5195</v>
      </c>
    </row>
    <row r="5293" spans="1:3" x14ac:dyDescent="0.25">
      <c r="A5293" t="str">
        <f>"0611884230050"</f>
        <v>0611884230050</v>
      </c>
      <c r="B5293" t="str">
        <f>"CE1748"</f>
        <v>CE1748</v>
      </c>
      <c r="C5293" t="s">
        <v>5196</v>
      </c>
    </row>
    <row r="5294" spans="1:3" x14ac:dyDescent="0.25">
      <c r="A5294" t="str">
        <f>"0611856959100"</f>
        <v>0611856959100</v>
      </c>
      <c r="B5294" t="str">
        <f>"LQ3882"</f>
        <v>LQ3882</v>
      </c>
      <c r="C5294" t="s">
        <v>5197</v>
      </c>
    </row>
    <row r="5295" spans="1:3" x14ac:dyDescent="0.25">
      <c r="A5295" t="str">
        <f>"0611862210050"</f>
        <v>0611862210050</v>
      </c>
      <c r="B5295" t="str">
        <f>"CR2960"</f>
        <v>CR2960</v>
      </c>
      <c r="C5295" t="s">
        <v>5198</v>
      </c>
    </row>
    <row r="5296" spans="1:3" x14ac:dyDescent="0.25">
      <c r="A5296" t="str">
        <f>"0611862211050"</f>
        <v>0611862211050</v>
      </c>
      <c r="B5296" t="str">
        <f>"CR3380"</f>
        <v>CR3380</v>
      </c>
      <c r="C5296" t="s">
        <v>5199</v>
      </c>
    </row>
    <row r="5297" spans="1:3" x14ac:dyDescent="0.25">
      <c r="A5297" t="str">
        <f>"0611862212050"</f>
        <v>0611862212050</v>
      </c>
      <c r="B5297" t="str">
        <f>"CR3378"</f>
        <v>CR3378</v>
      </c>
      <c r="C5297" t="s">
        <v>5200</v>
      </c>
    </row>
    <row r="5298" spans="1:3" x14ac:dyDescent="0.25">
      <c r="A5298" t="str">
        <f>"0611862213050"</f>
        <v>0611862213050</v>
      </c>
      <c r="B5298" t="str">
        <f>"CR4026"</f>
        <v>CR4026</v>
      </c>
      <c r="C5298" t="s">
        <v>5201</v>
      </c>
    </row>
    <row r="5299" spans="1:3" x14ac:dyDescent="0.25">
      <c r="A5299" t="str">
        <f>"0611862214050"</f>
        <v>0611862214050</v>
      </c>
      <c r="B5299" t="str">
        <f>"CR4028"</f>
        <v>CR4028</v>
      </c>
      <c r="C5299" t="s">
        <v>5202</v>
      </c>
    </row>
    <row r="5300" spans="1:3" x14ac:dyDescent="0.25">
      <c r="A5300" t="str">
        <f>"0611862215050"</f>
        <v>0611862215050</v>
      </c>
      <c r="B5300" t="str">
        <f>"CR3299"</f>
        <v>CR3299</v>
      </c>
      <c r="C5300" t="s">
        <v>5203</v>
      </c>
    </row>
    <row r="5301" spans="1:3" x14ac:dyDescent="0.25">
      <c r="A5301" t="str">
        <f>"0611862216050"</f>
        <v>0611862216050</v>
      </c>
      <c r="B5301" t="str">
        <f>"CR2237"</f>
        <v>CR2237</v>
      </c>
      <c r="C5301" t="s">
        <v>5204</v>
      </c>
    </row>
    <row r="5302" spans="1:3" x14ac:dyDescent="0.25">
      <c r="A5302" t="str">
        <f>"0611862217050"</f>
        <v>0611862217050</v>
      </c>
      <c r="B5302" t="str">
        <f>"CR2235"</f>
        <v>CR2235</v>
      </c>
      <c r="C5302" t="s">
        <v>5205</v>
      </c>
    </row>
    <row r="5303" spans="1:3" x14ac:dyDescent="0.25">
      <c r="A5303" t="str">
        <f>"0611862218050"</f>
        <v>0611862218050</v>
      </c>
      <c r="B5303" t="str">
        <f>"CR2236"</f>
        <v>CR2236</v>
      </c>
      <c r="C5303" t="s">
        <v>5206</v>
      </c>
    </row>
    <row r="5304" spans="1:3" x14ac:dyDescent="0.25">
      <c r="A5304" t="str">
        <f>"0611862219050"</f>
        <v>0611862219050</v>
      </c>
      <c r="B5304" t="str">
        <f>"CE0643"</f>
        <v>CE0643</v>
      </c>
      <c r="C5304" t="s">
        <v>5207</v>
      </c>
    </row>
    <row r="5305" spans="1:3" x14ac:dyDescent="0.25">
      <c r="A5305" t="str">
        <f>"0611862220050"</f>
        <v>0611862220050</v>
      </c>
      <c r="B5305" t="str">
        <f>"CE1328"</f>
        <v>CE1328</v>
      </c>
      <c r="C5305" t="s">
        <v>5208</v>
      </c>
    </row>
    <row r="5306" spans="1:3" x14ac:dyDescent="0.25">
      <c r="A5306" t="str">
        <f>"0611862221050"</f>
        <v>0611862221050</v>
      </c>
      <c r="B5306" t="str">
        <f>"CE0644"</f>
        <v>CE0644</v>
      </c>
      <c r="C5306" t="s">
        <v>5209</v>
      </c>
    </row>
    <row r="5307" spans="1:3" x14ac:dyDescent="0.25">
      <c r="A5307" t="str">
        <f>"0611862222050"</f>
        <v>0611862222050</v>
      </c>
      <c r="B5307" t="str">
        <f>"CE1329"</f>
        <v>CE1329</v>
      </c>
      <c r="C5307" t="s">
        <v>5210</v>
      </c>
    </row>
    <row r="5308" spans="1:3" x14ac:dyDescent="0.25">
      <c r="A5308" t="str">
        <f>"0611862224050"</f>
        <v>0611862224050</v>
      </c>
      <c r="B5308" t="str">
        <f>"CE0646"</f>
        <v>CE0646</v>
      </c>
      <c r="C5308" t="s">
        <v>5211</v>
      </c>
    </row>
    <row r="5309" spans="1:3" x14ac:dyDescent="0.25">
      <c r="A5309" t="str">
        <f>"0611862225050"</f>
        <v>0611862225050</v>
      </c>
      <c r="B5309" t="str">
        <f>"CE0647"</f>
        <v>CE0647</v>
      </c>
      <c r="C5309" t="s">
        <v>5212</v>
      </c>
    </row>
    <row r="5310" spans="1:3" x14ac:dyDescent="0.25">
      <c r="A5310" t="str">
        <f>"0611837187100"</f>
        <v>0611837187100</v>
      </c>
      <c r="B5310" t="str">
        <f>"LQ3803"</f>
        <v>LQ3803</v>
      </c>
      <c r="C5310" t="s">
        <v>5213</v>
      </c>
    </row>
    <row r="5311" spans="1:3" x14ac:dyDescent="0.25">
      <c r="A5311" t="str">
        <f>"0611837188100"</f>
        <v>0611837188100</v>
      </c>
      <c r="B5311" t="str">
        <f>"LQ3592"</f>
        <v>LQ3592</v>
      </c>
      <c r="C5311" t="s">
        <v>5214</v>
      </c>
    </row>
    <row r="5312" spans="1:3" x14ac:dyDescent="0.25">
      <c r="A5312" t="str">
        <f>"0611837189100"</f>
        <v>0611837189100</v>
      </c>
      <c r="B5312" t="str">
        <f>"LQ3593"</f>
        <v>LQ3593</v>
      </c>
      <c r="C5312" t="s">
        <v>5215</v>
      </c>
    </row>
    <row r="5313" spans="1:3" x14ac:dyDescent="0.25">
      <c r="A5313" t="str">
        <f>"0611837190100"</f>
        <v>0611837190100</v>
      </c>
      <c r="B5313" t="str">
        <f>"LQ3804"</f>
        <v>LQ3804</v>
      </c>
      <c r="C5313" t="s">
        <v>5216</v>
      </c>
    </row>
    <row r="5314" spans="1:3" x14ac:dyDescent="0.25">
      <c r="A5314" t="str">
        <f>"0611837191100"</f>
        <v>0611837191100</v>
      </c>
      <c r="B5314" t="str">
        <f>"LQ3594"</f>
        <v>LQ3594</v>
      </c>
      <c r="C5314" t="s">
        <v>5217</v>
      </c>
    </row>
    <row r="5315" spans="1:3" x14ac:dyDescent="0.25">
      <c r="A5315" t="str">
        <f>"0611884341025"</f>
        <v>0611884341025</v>
      </c>
      <c r="B5315" t="str">
        <f>"MC4513"</f>
        <v>MC4513</v>
      </c>
      <c r="C5315" t="s">
        <v>9044</v>
      </c>
    </row>
    <row r="5316" spans="1:3" x14ac:dyDescent="0.25">
      <c r="A5316" t="str">
        <f>"0611862226050"</f>
        <v>0611862226050</v>
      </c>
      <c r="B5316" t="str">
        <f>"CR4989"</f>
        <v>CR4989</v>
      </c>
      <c r="C5316" t="s">
        <v>5218</v>
      </c>
    </row>
    <row r="5317" spans="1:3" x14ac:dyDescent="0.25">
      <c r="A5317" t="str">
        <f>"0611837192100"</f>
        <v>0611837192100</v>
      </c>
      <c r="B5317" t="str">
        <f>"LC6659"</f>
        <v>LC6659</v>
      </c>
      <c r="C5317" t="s">
        <v>5219</v>
      </c>
    </row>
    <row r="5318" spans="1:3" x14ac:dyDescent="0.25">
      <c r="A5318" t="str">
        <f>"0611862227050"</f>
        <v>0611862227050</v>
      </c>
      <c r="B5318" t="str">
        <f>"CE0685"</f>
        <v>CE0685</v>
      </c>
      <c r="C5318" t="s">
        <v>5220</v>
      </c>
    </row>
    <row r="5319" spans="1:3" x14ac:dyDescent="0.25">
      <c r="A5319" t="str">
        <f>"0611862228050"</f>
        <v>0611862228050</v>
      </c>
      <c r="B5319" t="str">
        <f>"CE0779"</f>
        <v>CE0779</v>
      </c>
      <c r="C5319" t="s">
        <v>5221</v>
      </c>
    </row>
    <row r="5320" spans="1:3" x14ac:dyDescent="0.25">
      <c r="A5320" t="str">
        <f>"0611862229050"</f>
        <v>0611862229050</v>
      </c>
      <c r="B5320" t="str">
        <f>"CE0686"</f>
        <v>CE0686</v>
      </c>
      <c r="C5320" t="s">
        <v>13843</v>
      </c>
    </row>
    <row r="5321" spans="1:3" x14ac:dyDescent="0.25">
      <c r="A5321" t="str">
        <f>"0611837195100"</f>
        <v>0611837195100</v>
      </c>
      <c r="B5321" t="str">
        <f>"LK3571"</f>
        <v>LK3571</v>
      </c>
      <c r="C5321" t="s">
        <v>5222</v>
      </c>
    </row>
    <row r="5322" spans="1:3" x14ac:dyDescent="0.25">
      <c r="A5322" t="str">
        <f>"0611862230050"</f>
        <v>0611862230050</v>
      </c>
      <c r="B5322" t="str">
        <f>"CE0648"</f>
        <v>CE0648</v>
      </c>
      <c r="C5322" t="s">
        <v>5223</v>
      </c>
    </row>
    <row r="5323" spans="1:3" x14ac:dyDescent="0.25">
      <c r="A5323" t="str">
        <f>"0611862231050"</f>
        <v>0611862231050</v>
      </c>
      <c r="B5323" t="str">
        <f>"CE0649"</f>
        <v>CE0649</v>
      </c>
      <c r="C5323" t="s">
        <v>13844</v>
      </c>
    </row>
    <row r="5324" spans="1:3" x14ac:dyDescent="0.25">
      <c r="A5324" t="str">
        <f>"0611862232050"</f>
        <v>0611862232050</v>
      </c>
      <c r="B5324" t="str">
        <f>"CE1114"</f>
        <v>CE1114</v>
      </c>
      <c r="C5324" t="s">
        <v>13845</v>
      </c>
    </row>
    <row r="5325" spans="1:3" x14ac:dyDescent="0.25">
      <c r="A5325" t="str">
        <f>"0611862233050"</f>
        <v>0611862233050</v>
      </c>
      <c r="B5325" t="str">
        <f>"CE0650"</f>
        <v>CE0650</v>
      </c>
      <c r="C5325" t="s">
        <v>13846</v>
      </c>
    </row>
    <row r="5326" spans="1:3" x14ac:dyDescent="0.25">
      <c r="A5326" t="str">
        <f>"0611862234050"</f>
        <v>0611862234050</v>
      </c>
      <c r="B5326" t="str">
        <f>"CE1115"</f>
        <v>CE1115</v>
      </c>
      <c r="C5326" t="s">
        <v>13847</v>
      </c>
    </row>
    <row r="5327" spans="1:3" x14ac:dyDescent="0.25">
      <c r="A5327" t="str">
        <f>"0611862235050"</f>
        <v>0611862235050</v>
      </c>
      <c r="B5327" t="str">
        <f>"CE0652"</f>
        <v>CE0652</v>
      </c>
      <c r="C5327" t="s">
        <v>13848</v>
      </c>
    </row>
    <row r="5328" spans="1:3" x14ac:dyDescent="0.25">
      <c r="A5328" t="str">
        <f>"0611862236050"</f>
        <v>0611862236050</v>
      </c>
      <c r="B5328" t="str">
        <f>"CE0653"</f>
        <v>CE0653</v>
      </c>
      <c r="C5328" t="s">
        <v>13849</v>
      </c>
    </row>
    <row r="5329" spans="1:3" x14ac:dyDescent="0.25">
      <c r="A5329" t="str">
        <f>"0611862237050"</f>
        <v>0611862237050</v>
      </c>
      <c r="B5329" t="str">
        <f>"CE0654"</f>
        <v>CE0654</v>
      </c>
      <c r="C5329" t="s">
        <v>13850</v>
      </c>
    </row>
    <row r="5330" spans="1:3" x14ac:dyDescent="0.25">
      <c r="A5330" t="str">
        <f>"0611862238050"</f>
        <v>0611862238050</v>
      </c>
      <c r="B5330" t="str">
        <f>"CE0655"</f>
        <v>CE0655</v>
      </c>
      <c r="C5330" t="s">
        <v>5224</v>
      </c>
    </row>
    <row r="5331" spans="1:3" x14ac:dyDescent="0.25">
      <c r="A5331" t="str">
        <f>"0611862239050"</f>
        <v>0611862239050</v>
      </c>
      <c r="B5331" t="str">
        <f>"CE0656"</f>
        <v>CE0656</v>
      </c>
      <c r="C5331" t="s">
        <v>13851</v>
      </c>
    </row>
    <row r="5332" spans="1:3" x14ac:dyDescent="0.25">
      <c r="A5332" t="str">
        <f>"0611837196100"</f>
        <v>0611837196100</v>
      </c>
      <c r="B5332" t="str">
        <f>"LS0024"</f>
        <v>LS0024</v>
      </c>
      <c r="C5332" t="s">
        <v>5225</v>
      </c>
    </row>
    <row r="5333" spans="1:3" x14ac:dyDescent="0.25">
      <c r="A5333" t="str">
        <f>"0611837198100"</f>
        <v>0611837198100</v>
      </c>
      <c r="B5333" t="str">
        <f>"LK4768"</f>
        <v>LK4768</v>
      </c>
      <c r="C5333" t="s">
        <v>5226</v>
      </c>
    </row>
    <row r="5334" spans="1:3" x14ac:dyDescent="0.25">
      <c r="A5334" t="str">
        <f>"0611837205100"</f>
        <v>0611837205100</v>
      </c>
      <c r="B5334" t="str">
        <f>"LS0025"</f>
        <v>LS0025</v>
      </c>
      <c r="C5334" t="s">
        <v>5231</v>
      </c>
    </row>
    <row r="5335" spans="1:3" x14ac:dyDescent="0.25">
      <c r="A5335" t="str">
        <f>"0611837201100"</f>
        <v>0611837201100</v>
      </c>
      <c r="B5335" t="str">
        <f>"LQ3750"</f>
        <v>LQ3750</v>
      </c>
      <c r="C5335" t="s">
        <v>5227</v>
      </c>
    </row>
    <row r="5336" spans="1:3" x14ac:dyDescent="0.25">
      <c r="A5336" t="str">
        <f>"0611837202100"</f>
        <v>0611837202100</v>
      </c>
      <c r="B5336" t="str">
        <f>"LQ3595"</f>
        <v>LQ3595</v>
      </c>
      <c r="C5336" t="s">
        <v>5228</v>
      </c>
    </row>
    <row r="5337" spans="1:3" x14ac:dyDescent="0.25">
      <c r="A5337" t="str">
        <f>"0611837203100"</f>
        <v>0611837203100</v>
      </c>
      <c r="B5337" t="str">
        <f>"LQ3596"</f>
        <v>LQ3596</v>
      </c>
      <c r="C5337" t="s">
        <v>5229</v>
      </c>
    </row>
    <row r="5338" spans="1:3" x14ac:dyDescent="0.25">
      <c r="A5338" t="str">
        <f>"0611862244050"</f>
        <v>0611862244050</v>
      </c>
      <c r="B5338" t="str">
        <f>"CR2242"</f>
        <v>CR2242</v>
      </c>
      <c r="C5338" t="s">
        <v>5230</v>
      </c>
    </row>
    <row r="5339" spans="1:3" x14ac:dyDescent="0.25">
      <c r="A5339" t="str">
        <f>"0611837206100"</f>
        <v>0611837206100</v>
      </c>
      <c r="B5339" t="str">
        <f>"LS0026"</f>
        <v>LS0026</v>
      </c>
      <c r="C5339" t="s">
        <v>5232</v>
      </c>
    </row>
    <row r="5340" spans="1:3" x14ac:dyDescent="0.25">
      <c r="A5340" t="str">
        <f>"0611837207100"</f>
        <v>0611837207100</v>
      </c>
      <c r="B5340" t="str">
        <f>"LQ3751"</f>
        <v>LQ3751</v>
      </c>
      <c r="C5340" t="s">
        <v>5233</v>
      </c>
    </row>
    <row r="5341" spans="1:3" x14ac:dyDescent="0.25">
      <c r="A5341" t="str">
        <f>"0611862245050"</f>
        <v>0611862245050</v>
      </c>
      <c r="B5341" t="str">
        <f>"CR2826"</f>
        <v>CR2826</v>
      </c>
      <c r="C5341" t="s">
        <v>5234</v>
      </c>
    </row>
    <row r="5342" spans="1:3" x14ac:dyDescent="0.25">
      <c r="A5342" t="str">
        <f>"0611862246050"</f>
        <v>0611862246050</v>
      </c>
      <c r="B5342" t="str">
        <f>"CR2827"</f>
        <v>CR2827</v>
      </c>
      <c r="C5342" t="s">
        <v>5235</v>
      </c>
    </row>
    <row r="5343" spans="1:3" x14ac:dyDescent="0.25">
      <c r="A5343" t="str">
        <f>"0611862247050"</f>
        <v>0611862247050</v>
      </c>
      <c r="B5343" t="str">
        <f>"CR2828"</f>
        <v>CR2828</v>
      </c>
      <c r="C5343" t="s">
        <v>5236</v>
      </c>
    </row>
    <row r="5344" spans="1:3" x14ac:dyDescent="0.25">
      <c r="A5344" t="str">
        <f>"0611862248050"</f>
        <v>0611862248050</v>
      </c>
      <c r="B5344" t="str">
        <f>"CR2830"</f>
        <v>CR2830</v>
      </c>
      <c r="C5344" t="s">
        <v>5237</v>
      </c>
    </row>
    <row r="5345" spans="1:3" x14ac:dyDescent="0.25">
      <c r="A5345" t="str">
        <f>"0611862249050"</f>
        <v>0611862249050</v>
      </c>
      <c r="B5345" t="str">
        <f>"CR2831"</f>
        <v>CR2831</v>
      </c>
      <c r="C5345" t="s">
        <v>5238</v>
      </c>
    </row>
    <row r="5346" spans="1:3" x14ac:dyDescent="0.25">
      <c r="A5346" t="str">
        <f>"0611862250050"</f>
        <v>0611862250050</v>
      </c>
      <c r="B5346" t="str">
        <f>"CR2833"</f>
        <v>CR2833</v>
      </c>
      <c r="C5346" t="s">
        <v>5239</v>
      </c>
    </row>
    <row r="5347" spans="1:3" x14ac:dyDescent="0.25">
      <c r="A5347" t="str">
        <f>"0611862253050"</f>
        <v>0611862253050</v>
      </c>
      <c r="B5347" t="str">
        <f>"CR2836"</f>
        <v>CR2836</v>
      </c>
      <c r="C5347" t="s">
        <v>5242</v>
      </c>
    </row>
    <row r="5348" spans="1:3" x14ac:dyDescent="0.25">
      <c r="A5348" t="str">
        <f>"0611862251050"</f>
        <v>0611862251050</v>
      </c>
      <c r="B5348" t="str">
        <f>"CR2834"</f>
        <v>CR2834</v>
      </c>
      <c r="C5348" t="s">
        <v>5240</v>
      </c>
    </row>
    <row r="5349" spans="1:3" x14ac:dyDescent="0.25">
      <c r="A5349" t="str">
        <f>"0611862252050"</f>
        <v>0611862252050</v>
      </c>
      <c r="B5349" t="str">
        <f>"CR2835"</f>
        <v>CR2835</v>
      </c>
      <c r="C5349" t="s">
        <v>5241</v>
      </c>
    </row>
    <row r="5350" spans="1:3" x14ac:dyDescent="0.25">
      <c r="A5350" t="str">
        <f>"0611862254050"</f>
        <v>0611862254050</v>
      </c>
      <c r="B5350" t="str">
        <f>"CR2838"</f>
        <v>CR2838</v>
      </c>
      <c r="C5350" t="s">
        <v>5243</v>
      </c>
    </row>
    <row r="5351" spans="1:3" x14ac:dyDescent="0.25">
      <c r="A5351" t="str">
        <f>"0611862255050"</f>
        <v>0611862255050</v>
      </c>
      <c r="B5351" t="str">
        <f>"CR2839"</f>
        <v>CR2839</v>
      </c>
      <c r="C5351" t="s">
        <v>5244</v>
      </c>
    </row>
    <row r="5352" spans="1:3" x14ac:dyDescent="0.25">
      <c r="A5352" t="str">
        <f>"0611862256050"</f>
        <v>0611862256050</v>
      </c>
      <c r="B5352" t="str">
        <f>"CR2840"</f>
        <v>CR2840</v>
      </c>
      <c r="C5352" t="s">
        <v>5245</v>
      </c>
    </row>
    <row r="5353" spans="1:3" x14ac:dyDescent="0.25">
      <c r="A5353" t="str">
        <f>"0611862257050"</f>
        <v>0611862257050</v>
      </c>
      <c r="B5353" t="str">
        <f>"CR2841"</f>
        <v>CR2841</v>
      </c>
      <c r="C5353" t="s">
        <v>5246</v>
      </c>
    </row>
    <row r="5354" spans="1:3" x14ac:dyDescent="0.25">
      <c r="A5354" t="str">
        <f>"0611862258050"</f>
        <v>0611862258050</v>
      </c>
      <c r="B5354" t="str">
        <f>"CR2842"</f>
        <v>CR2842</v>
      </c>
      <c r="C5354" t="s">
        <v>5247</v>
      </c>
    </row>
    <row r="5355" spans="1:3" x14ac:dyDescent="0.25">
      <c r="A5355" t="str">
        <f>"0611862259050"</f>
        <v>0611862259050</v>
      </c>
      <c r="B5355" t="str">
        <f>"CE1612"</f>
        <v>CE1612</v>
      </c>
      <c r="C5355" t="s">
        <v>5248</v>
      </c>
    </row>
    <row r="5356" spans="1:3" x14ac:dyDescent="0.25">
      <c r="A5356" t="str">
        <f>"0611862260050"</f>
        <v>0611862260050</v>
      </c>
      <c r="B5356" t="str">
        <f>"CE0693"</f>
        <v>CE0693</v>
      </c>
      <c r="C5356" t="s">
        <v>13852</v>
      </c>
    </row>
    <row r="5357" spans="1:3" x14ac:dyDescent="0.25">
      <c r="A5357" t="str">
        <f>"0611837208100"</f>
        <v>0611837208100</v>
      </c>
      <c r="B5357" t="str">
        <f>"LQ3752"</f>
        <v>LQ3752</v>
      </c>
      <c r="C5357" t="s">
        <v>5249</v>
      </c>
    </row>
    <row r="5358" spans="1:3" x14ac:dyDescent="0.25">
      <c r="A5358" t="str">
        <f>"0611837210100"</f>
        <v>0611837210100</v>
      </c>
      <c r="B5358" t="str">
        <f>"LC9615"</f>
        <v>LC9615</v>
      </c>
      <c r="C5358" t="s">
        <v>5250</v>
      </c>
    </row>
    <row r="5359" spans="1:3" x14ac:dyDescent="0.25">
      <c r="A5359" t="str">
        <f>"0611862261050"</f>
        <v>0611862261050</v>
      </c>
      <c r="B5359" t="str">
        <f>"CE0657"</f>
        <v>CE0657</v>
      </c>
      <c r="C5359" t="s">
        <v>13853</v>
      </c>
    </row>
    <row r="5360" spans="1:3" x14ac:dyDescent="0.25">
      <c r="A5360" t="str">
        <f>"0611862262050"</f>
        <v>0611862262050</v>
      </c>
      <c r="B5360" t="str">
        <f>"CE0658"</f>
        <v>CE0658</v>
      </c>
      <c r="C5360" t="s">
        <v>13854</v>
      </c>
    </row>
    <row r="5361" spans="1:3" x14ac:dyDescent="0.25">
      <c r="A5361" t="str">
        <f>"0611862263050"</f>
        <v>0611862263050</v>
      </c>
      <c r="B5361" t="str">
        <f>"CE0659"</f>
        <v>CE0659</v>
      </c>
      <c r="C5361" t="s">
        <v>13855</v>
      </c>
    </row>
    <row r="5362" spans="1:3" x14ac:dyDescent="0.25">
      <c r="A5362" t="str">
        <f>"0611837212100"</f>
        <v>0611837212100</v>
      </c>
      <c r="B5362" t="str">
        <f>"MB2800"</f>
        <v>MB2800</v>
      </c>
      <c r="C5362" t="s">
        <v>5259</v>
      </c>
    </row>
    <row r="5363" spans="1:3" x14ac:dyDescent="0.25">
      <c r="A5363" t="str">
        <f>"0611837213025"</f>
        <v>0611837213025</v>
      </c>
      <c r="B5363" t="str">
        <f>"MC2204"</f>
        <v>MC2204</v>
      </c>
      <c r="C5363" t="s">
        <v>5260</v>
      </c>
    </row>
    <row r="5364" spans="1:3" x14ac:dyDescent="0.25">
      <c r="A5364" t="str">
        <f>"0611862264050"</f>
        <v>0611862264050</v>
      </c>
      <c r="B5364" t="str">
        <f>"CR2843"</f>
        <v>CR2843</v>
      </c>
      <c r="C5364" t="s">
        <v>5251</v>
      </c>
    </row>
    <row r="5365" spans="1:3" x14ac:dyDescent="0.25">
      <c r="A5365" t="str">
        <f>"0611862265050"</f>
        <v>0611862265050</v>
      </c>
      <c r="B5365" t="str">
        <f>"CR2254"</f>
        <v>CR2254</v>
      </c>
      <c r="C5365" t="s">
        <v>5252</v>
      </c>
    </row>
    <row r="5366" spans="1:3" x14ac:dyDescent="0.25">
      <c r="A5366" t="str">
        <f>"0611862266050"</f>
        <v>0611862266050</v>
      </c>
      <c r="B5366" t="str">
        <f>"CR2844"</f>
        <v>CR2844</v>
      </c>
      <c r="C5366" t="s">
        <v>5253</v>
      </c>
    </row>
    <row r="5367" spans="1:3" x14ac:dyDescent="0.25">
      <c r="A5367" t="str">
        <f>"0611862267050"</f>
        <v>0611862267050</v>
      </c>
      <c r="B5367" t="str">
        <f>"CR2255"</f>
        <v>CR2255</v>
      </c>
      <c r="C5367" t="s">
        <v>5254</v>
      </c>
    </row>
    <row r="5368" spans="1:3" x14ac:dyDescent="0.25">
      <c r="A5368" t="str">
        <f>"0611862268050"</f>
        <v>0611862268050</v>
      </c>
      <c r="B5368" t="str">
        <f>"CR2845"</f>
        <v>CR2845</v>
      </c>
      <c r="C5368" t="s">
        <v>5255</v>
      </c>
    </row>
    <row r="5369" spans="1:3" x14ac:dyDescent="0.25">
      <c r="A5369" t="str">
        <f>"0611862269050"</f>
        <v>0611862269050</v>
      </c>
      <c r="B5369" t="str">
        <f>"CR2256"</f>
        <v>CR2256</v>
      </c>
      <c r="C5369" t="s">
        <v>5256</v>
      </c>
    </row>
    <row r="5370" spans="1:3" x14ac:dyDescent="0.25">
      <c r="A5370" t="str">
        <f>"0611906570050"</f>
        <v>0611906570050</v>
      </c>
      <c r="B5370" t="str">
        <f>"CR5524"</f>
        <v>CR5524</v>
      </c>
      <c r="C5370" t="s">
        <v>5257</v>
      </c>
    </row>
    <row r="5371" spans="1:3" x14ac:dyDescent="0.25">
      <c r="A5371" t="str">
        <f>"0611906571050"</f>
        <v>0611906571050</v>
      </c>
      <c r="B5371" t="str">
        <f>"CR5525"</f>
        <v>CR5525</v>
      </c>
      <c r="C5371" t="s">
        <v>5258</v>
      </c>
    </row>
    <row r="5372" spans="1:3" x14ac:dyDescent="0.25">
      <c r="A5372" t="str">
        <f>"0611906768100"</f>
        <v>0611906768100</v>
      </c>
      <c r="B5372" t="str">
        <f>"LQ3951"</f>
        <v>LQ3951</v>
      </c>
      <c r="C5372" t="s">
        <v>5262</v>
      </c>
    </row>
    <row r="5373" spans="1:3" x14ac:dyDescent="0.25">
      <c r="A5373" t="str">
        <f>"0611884231050"</f>
        <v>0611884231050</v>
      </c>
      <c r="B5373" t="str">
        <f>"CR5421"</f>
        <v>CR5421</v>
      </c>
      <c r="C5373" t="s">
        <v>5266</v>
      </c>
    </row>
    <row r="5374" spans="1:3" x14ac:dyDescent="0.25">
      <c r="A5374" t="str">
        <f>"0611884232050"</f>
        <v>0611884232050</v>
      </c>
      <c r="B5374" t="str">
        <f>"CR5422"</f>
        <v>CR5422</v>
      </c>
      <c r="C5374" t="s">
        <v>5269</v>
      </c>
    </row>
    <row r="5375" spans="1:3" x14ac:dyDescent="0.25">
      <c r="A5375" t="str">
        <f>"0611862270050"</f>
        <v>0611862270050</v>
      </c>
      <c r="B5375" t="str">
        <f>"CR2243"</f>
        <v>CR2243</v>
      </c>
      <c r="C5375" t="s">
        <v>5263</v>
      </c>
    </row>
    <row r="5376" spans="1:3" x14ac:dyDescent="0.25">
      <c r="A5376" t="str">
        <f>"0611862271050"</f>
        <v>0611862271050</v>
      </c>
      <c r="B5376" t="str">
        <f>"CR2244"</f>
        <v>CR2244</v>
      </c>
      <c r="C5376" t="s">
        <v>5264</v>
      </c>
    </row>
    <row r="5377" spans="1:3" x14ac:dyDescent="0.25">
      <c r="A5377" t="str">
        <f>"0611862272050"</f>
        <v>0611862272050</v>
      </c>
      <c r="B5377" t="str">
        <f>"CR4981"</f>
        <v>CR4981</v>
      </c>
      <c r="C5377" t="s">
        <v>5265</v>
      </c>
    </row>
    <row r="5378" spans="1:3" x14ac:dyDescent="0.25">
      <c r="A5378" t="str">
        <f>"0611862274050"</f>
        <v>0611862274050</v>
      </c>
      <c r="B5378" t="str">
        <f>"CR3084"</f>
        <v>CR3084</v>
      </c>
      <c r="C5378" t="s">
        <v>5267</v>
      </c>
    </row>
    <row r="5379" spans="1:3" x14ac:dyDescent="0.25">
      <c r="A5379" t="str">
        <f>"0611862275050"</f>
        <v>0611862275050</v>
      </c>
      <c r="B5379" t="str">
        <f>"CR2247"</f>
        <v>CR2247</v>
      </c>
      <c r="C5379" t="s">
        <v>5268</v>
      </c>
    </row>
    <row r="5380" spans="1:3" x14ac:dyDescent="0.25">
      <c r="A5380" t="str">
        <f>"0611862276050"</f>
        <v>0611862276050</v>
      </c>
      <c r="B5380" t="str">
        <f>"CR4982"</f>
        <v>CR4982</v>
      </c>
      <c r="C5380" t="s">
        <v>5270</v>
      </c>
    </row>
    <row r="5381" spans="1:3" x14ac:dyDescent="0.25">
      <c r="A5381" t="str">
        <f>"0611862277050"</f>
        <v>0611862277050</v>
      </c>
      <c r="B5381" t="str">
        <f>"CR4983"</f>
        <v>CR4983</v>
      </c>
      <c r="C5381" t="s">
        <v>5271</v>
      </c>
    </row>
    <row r="5382" spans="1:3" x14ac:dyDescent="0.25">
      <c r="A5382" t="str">
        <f>"0611862278050"</f>
        <v>0611862278050</v>
      </c>
      <c r="B5382" t="str">
        <f>"CR2249"</f>
        <v>CR2249</v>
      </c>
      <c r="C5382" t="s">
        <v>5272</v>
      </c>
    </row>
    <row r="5383" spans="1:3" x14ac:dyDescent="0.25">
      <c r="A5383" t="str">
        <f>"0611862280050"</f>
        <v>0611862280050</v>
      </c>
      <c r="B5383" t="str">
        <f>"CR2250"</f>
        <v>CR2250</v>
      </c>
      <c r="C5383" t="s">
        <v>5274</v>
      </c>
    </row>
    <row r="5384" spans="1:3" x14ac:dyDescent="0.25">
      <c r="A5384" t="str">
        <f>"0611862279050"</f>
        <v>0611862279050</v>
      </c>
      <c r="B5384" t="str">
        <f>"CR4984"</f>
        <v>CR4984</v>
      </c>
      <c r="C5384" t="s">
        <v>5273</v>
      </c>
    </row>
    <row r="5385" spans="1:3" x14ac:dyDescent="0.25">
      <c r="A5385" t="str">
        <f>"0611906572050"</f>
        <v>0611906572050</v>
      </c>
      <c r="B5385" t="str">
        <f>"CR5500"</f>
        <v>CR5500</v>
      </c>
      <c r="C5385" t="s">
        <v>5275</v>
      </c>
    </row>
    <row r="5386" spans="1:3" x14ac:dyDescent="0.25">
      <c r="A5386" t="str">
        <f>"0611862281050"</f>
        <v>0611862281050</v>
      </c>
      <c r="B5386" t="str">
        <f>"CR3957"</f>
        <v>CR3957</v>
      </c>
      <c r="C5386" t="s">
        <v>5276</v>
      </c>
    </row>
    <row r="5387" spans="1:3" x14ac:dyDescent="0.25">
      <c r="A5387" t="str">
        <f>"0611862282050"</f>
        <v>0611862282050</v>
      </c>
      <c r="B5387" t="str">
        <f>"CR3902"</f>
        <v>CR3902</v>
      </c>
      <c r="C5387" t="s">
        <v>5277</v>
      </c>
    </row>
    <row r="5388" spans="1:3" x14ac:dyDescent="0.25">
      <c r="A5388" t="str">
        <f>"0611862283050"</f>
        <v>0611862283050</v>
      </c>
      <c r="B5388" t="str">
        <f>"CR2252"</f>
        <v>CR2252</v>
      </c>
      <c r="C5388" t="s">
        <v>5278</v>
      </c>
    </row>
    <row r="5389" spans="1:3" x14ac:dyDescent="0.25">
      <c r="A5389" t="str">
        <f>"0611834591025"</f>
        <v>0611834591025</v>
      </c>
      <c r="B5389" t="str">
        <f>"MC1175"</f>
        <v>MC1175</v>
      </c>
      <c r="C5389" t="s">
        <v>5279</v>
      </c>
    </row>
    <row r="5390" spans="1:3" x14ac:dyDescent="0.25">
      <c r="A5390" t="str">
        <f>"0611906769025"</f>
        <v>0611906769025</v>
      </c>
      <c r="B5390" t="str">
        <f>"MQ7501"</f>
        <v>MQ7501</v>
      </c>
      <c r="C5390" t="s">
        <v>5280</v>
      </c>
    </row>
    <row r="5391" spans="1:3" x14ac:dyDescent="0.25">
      <c r="A5391" t="str">
        <f>"0611837199100"</f>
        <v>0611837199100</v>
      </c>
      <c r="B5391" t="str">
        <f>"LQ3749"</f>
        <v>LQ3749</v>
      </c>
      <c r="C5391" t="s">
        <v>5281</v>
      </c>
    </row>
    <row r="5392" spans="1:3" x14ac:dyDescent="0.25">
      <c r="A5392" t="str">
        <f>"0611837216100"</f>
        <v>0611837216100</v>
      </c>
      <c r="B5392" t="str">
        <f>"MB2820"</f>
        <v>MB2820</v>
      </c>
      <c r="C5392" t="s">
        <v>5282</v>
      </c>
    </row>
    <row r="5393" spans="1:3" x14ac:dyDescent="0.25">
      <c r="A5393" t="str">
        <f>"0611837217100"</f>
        <v>0611837217100</v>
      </c>
      <c r="B5393" t="str">
        <f>"LB4250"</f>
        <v>LB4250</v>
      </c>
      <c r="C5393" t="s">
        <v>5283</v>
      </c>
    </row>
    <row r="5394" spans="1:3" x14ac:dyDescent="0.25">
      <c r="A5394" t="str">
        <f>"0611837220100"</f>
        <v>0611837220100</v>
      </c>
      <c r="B5394" t="str">
        <f>"LB4223"</f>
        <v>LB4223</v>
      </c>
      <c r="C5394" t="s">
        <v>5284</v>
      </c>
    </row>
    <row r="5395" spans="1:3" x14ac:dyDescent="0.25">
      <c r="A5395" t="str">
        <f>"0611862285050"</f>
        <v>0611862285050</v>
      </c>
      <c r="B5395" t="str">
        <f>"CE1611"</f>
        <v>CE1611</v>
      </c>
      <c r="C5395" t="s">
        <v>5285</v>
      </c>
    </row>
    <row r="5396" spans="1:3" x14ac:dyDescent="0.25">
      <c r="A5396" t="str">
        <f>"0611862286050"</f>
        <v>0611862286050</v>
      </c>
      <c r="B5396" t="str">
        <f>"CE1331"</f>
        <v>CE1331</v>
      </c>
      <c r="C5396" t="s">
        <v>5286</v>
      </c>
    </row>
    <row r="5397" spans="1:3" x14ac:dyDescent="0.25">
      <c r="A5397" t="str">
        <f>"0611862287050"</f>
        <v>0611862287050</v>
      </c>
      <c r="B5397" t="str">
        <f>"CE1332"</f>
        <v>CE1332</v>
      </c>
      <c r="C5397" t="s">
        <v>5287</v>
      </c>
    </row>
    <row r="5398" spans="1:3" x14ac:dyDescent="0.25">
      <c r="A5398" t="str">
        <f>"0611862288050"</f>
        <v>0611862288050</v>
      </c>
      <c r="B5398" t="str">
        <f>"CE1333"</f>
        <v>CE1333</v>
      </c>
      <c r="C5398" t="s">
        <v>5288</v>
      </c>
    </row>
    <row r="5399" spans="1:3" x14ac:dyDescent="0.25">
      <c r="A5399" t="str">
        <f>"0611862289050"</f>
        <v>0611862289050</v>
      </c>
      <c r="B5399" t="str">
        <f>"CE1491"</f>
        <v>CE1491</v>
      </c>
      <c r="C5399" t="s">
        <v>5289</v>
      </c>
    </row>
    <row r="5400" spans="1:3" x14ac:dyDescent="0.25">
      <c r="A5400" t="str">
        <f>"0611862290050"</f>
        <v>0611862290050</v>
      </c>
      <c r="B5400" t="str">
        <f>"CE1334"</f>
        <v>CE1334</v>
      </c>
      <c r="C5400" t="s">
        <v>5290</v>
      </c>
    </row>
    <row r="5401" spans="1:3" x14ac:dyDescent="0.25">
      <c r="A5401" t="str">
        <f>"0611862291050"</f>
        <v>0611862291050</v>
      </c>
      <c r="B5401" t="str">
        <f>"CE1335"</f>
        <v>CE1335</v>
      </c>
      <c r="C5401" t="s">
        <v>5291</v>
      </c>
    </row>
    <row r="5402" spans="1:3" x14ac:dyDescent="0.25">
      <c r="A5402" t="str">
        <f>"0611862292050"</f>
        <v>0611862292050</v>
      </c>
      <c r="B5402" t="str">
        <f>"CE1336"</f>
        <v>CE1336</v>
      </c>
      <c r="C5402" t="s">
        <v>5292</v>
      </c>
    </row>
    <row r="5403" spans="1:3" x14ac:dyDescent="0.25">
      <c r="A5403" t="str">
        <f>"0611862293050"</f>
        <v>0611862293050</v>
      </c>
      <c r="B5403" t="str">
        <f>"CE1337"</f>
        <v>CE1337</v>
      </c>
      <c r="C5403" t="s">
        <v>5293</v>
      </c>
    </row>
    <row r="5404" spans="1:3" x14ac:dyDescent="0.25">
      <c r="A5404" t="str">
        <f>"0611862294050"</f>
        <v>0611862294050</v>
      </c>
      <c r="B5404" t="str">
        <f>"CE1338"</f>
        <v>CE1338</v>
      </c>
      <c r="C5404" t="s">
        <v>5294</v>
      </c>
    </row>
    <row r="5405" spans="1:3" x14ac:dyDescent="0.25">
      <c r="A5405" t="str">
        <f>"0611862295050"</f>
        <v>0611862295050</v>
      </c>
      <c r="B5405" t="str">
        <f>"CE1339"</f>
        <v>CE1339</v>
      </c>
      <c r="C5405" t="s">
        <v>5295</v>
      </c>
    </row>
    <row r="5406" spans="1:3" x14ac:dyDescent="0.25">
      <c r="A5406" t="str">
        <f>"0611862296050"</f>
        <v>0611862296050</v>
      </c>
      <c r="B5406" t="str">
        <f>"CE1340"</f>
        <v>CE1340</v>
      </c>
      <c r="C5406" t="s">
        <v>5296</v>
      </c>
    </row>
    <row r="5407" spans="1:3" x14ac:dyDescent="0.25">
      <c r="A5407" t="str">
        <f>"0611837284100"</f>
        <v>0611837284100</v>
      </c>
      <c r="B5407" t="str">
        <f>"LK6389"</f>
        <v>LK6389</v>
      </c>
      <c r="C5407" t="s">
        <v>5297</v>
      </c>
    </row>
    <row r="5408" spans="1:3" x14ac:dyDescent="0.25">
      <c r="A5408" t="str">
        <f>"0611837285100"</f>
        <v>0611837285100</v>
      </c>
      <c r="B5408" t="str">
        <f>"LB4226"</f>
        <v>LB4226</v>
      </c>
      <c r="C5408" t="s">
        <v>5298</v>
      </c>
    </row>
    <row r="5409" spans="1:3" x14ac:dyDescent="0.25">
      <c r="A5409" t="str">
        <f>"0611837307100"</f>
        <v>0611837307100</v>
      </c>
      <c r="B5409" t="str">
        <f>"LK5757"</f>
        <v>LK5757</v>
      </c>
      <c r="C5409" t="s">
        <v>5299</v>
      </c>
    </row>
    <row r="5410" spans="1:3" x14ac:dyDescent="0.25">
      <c r="A5410" t="str">
        <f>"0611837315100"</f>
        <v>0611837315100</v>
      </c>
      <c r="B5410" t="str">
        <f>"LK2828"</f>
        <v>LK2828</v>
      </c>
      <c r="C5410" t="s">
        <v>5300</v>
      </c>
    </row>
    <row r="5411" spans="1:3" x14ac:dyDescent="0.25">
      <c r="A5411" t="str">
        <f>"0611834592025"</f>
        <v>0611834592025</v>
      </c>
      <c r="B5411" t="str">
        <f>"MC0301"</f>
        <v>MC0301</v>
      </c>
      <c r="C5411" t="s">
        <v>5301</v>
      </c>
    </row>
    <row r="5412" spans="1:3" x14ac:dyDescent="0.25">
      <c r="A5412" t="str">
        <f>"0611834593025"</f>
        <v>0611834593025</v>
      </c>
      <c r="B5412" t="str">
        <f>"MC1897"</f>
        <v>MC1897</v>
      </c>
      <c r="C5412" t="s">
        <v>5302</v>
      </c>
    </row>
    <row r="5413" spans="1:3" x14ac:dyDescent="0.25">
      <c r="A5413" t="str">
        <f>"0611837218025"</f>
        <v>0611837218025</v>
      </c>
      <c r="B5413" t="str">
        <f>"MC3099"</f>
        <v>MC3099</v>
      </c>
      <c r="C5413" t="s">
        <v>5303</v>
      </c>
    </row>
    <row r="5414" spans="1:3" x14ac:dyDescent="0.25">
      <c r="A5414" t="str">
        <f>"0611837219100"</f>
        <v>0611837219100</v>
      </c>
      <c r="B5414" t="str">
        <f>"LS0028"</f>
        <v>LS0028</v>
      </c>
      <c r="C5414" t="s">
        <v>5304</v>
      </c>
    </row>
    <row r="5415" spans="1:3" x14ac:dyDescent="0.25">
      <c r="A5415" t="str">
        <f>"0611837222100"</f>
        <v>0611837222100</v>
      </c>
      <c r="B5415" t="str">
        <f>"LQ3600"</f>
        <v>LQ3600</v>
      </c>
      <c r="C5415" t="s">
        <v>5305</v>
      </c>
    </row>
    <row r="5416" spans="1:3" x14ac:dyDescent="0.25">
      <c r="A5416" t="str">
        <f>"0611837223100"</f>
        <v>0611837223100</v>
      </c>
      <c r="B5416" t="str">
        <f>"LS0029"</f>
        <v>LS0029</v>
      </c>
      <c r="C5416" t="s">
        <v>5306</v>
      </c>
    </row>
    <row r="5417" spans="1:3" x14ac:dyDescent="0.25">
      <c r="A5417" t="str">
        <f>"0611837224100"</f>
        <v>0611837224100</v>
      </c>
      <c r="B5417" t="str">
        <f>"LS0030"</f>
        <v>LS0030</v>
      </c>
      <c r="C5417" t="s">
        <v>5307</v>
      </c>
    </row>
    <row r="5418" spans="1:3" x14ac:dyDescent="0.25">
      <c r="A5418" t="str">
        <f>"0611862297050"</f>
        <v>0611862297050</v>
      </c>
      <c r="B5418" t="str">
        <f>"CR2266"</f>
        <v>CR2266</v>
      </c>
      <c r="C5418" t="s">
        <v>5308</v>
      </c>
    </row>
    <row r="5419" spans="1:3" x14ac:dyDescent="0.25">
      <c r="A5419" t="str">
        <f>"0611862298050"</f>
        <v>0611862298050</v>
      </c>
      <c r="B5419" t="str">
        <f>"CR2267"</f>
        <v>CR2267</v>
      </c>
      <c r="C5419" t="s">
        <v>5309</v>
      </c>
    </row>
    <row r="5420" spans="1:3" x14ac:dyDescent="0.25">
      <c r="A5420" t="str">
        <f>"0611862299050"</f>
        <v>0611862299050</v>
      </c>
      <c r="B5420" t="str">
        <f>"CR2270"</f>
        <v>CR2270</v>
      </c>
      <c r="C5420" t="s">
        <v>5310</v>
      </c>
    </row>
    <row r="5421" spans="1:3" x14ac:dyDescent="0.25">
      <c r="A5421" t="str">
        <f>"0611862300050"</f>
        <v>0611862300050</v>
      </c>
      <c r="B5421" t="str">
        <f>"CR2271"</f>
        <v>CR2271</v>
      </c>
      <c r="C5421" t="s">
        <v>5311</v>
      </c>
    </row>
    <row r="5422" spans="1:3" x14ac:dyDescent="0.25">
      <c r="A5422" t="str">
        <f>"0611862301050"</f>
        <v>0611862301050</v>
      </c>
      <c r="B5422" t="str">
        <f>"CR2272"</f>
        <v>CR2272</v>
      </c>
      <c r="C5422" t="s">
        <v>5312</v>
      </c>
    </row>
    <row r="5423" spans="1:3" x14ac:dyDescent="0.25">
      <c r="A5423" t="str">
        <f>"0611862302050"</f>
        <v>0611862302050</v>
      </c>
      <c r="B5423" t="str">
        <f>"CR2273"</f>
        <v>CR2273</v>
      </c>
      <c r="C5423" t="s">
        <v>5313</v>
      </c>
    </row>
    <row r="5424" spans="1:3" x14ac:dyDescent="0.25">
      <c r="A5424" t="str">
        <f>"0611862303050"</f>
        <v>0611862303050</v>
      </c>
      <c r="B5424" t="str">
        <f>"CR2274"</f>
        <v>CR2274</v>
      </c>
      <c r="C5424" t="s">
        <v>5314</v>
      </c>
    </row>
    <row r="5425" spans="1:3" x14ac:dyDescent="0.25">
      <c r="A5425" t="str">
        <f>"0611862305050"</f>
        <v>0611862305050</v>
      </c>
      <c r="B5425" t="str">
        <f>"CR2275"</f>
        <v>CR2275</v>
      </c>
      <c r="C5425" t="s">
        <v>5316</v>
      </c>
    </row>
    <row r="5426" spans="1:3" x14ac:dyDescent="0.25">
      <c r="A5426" t="str">
        <f>"0611862304050"</f>
        <v>0611862304050</v>
      </c>
      <c r="B5426" t="str">
        <f>"CR4985"</f>
        <v>CR4985</v>
      </c>
      <c r="C5426" t="s">
        <v>5315</v>
      </c>
    </row>
    <row r="5427" spans="1:3" x14ac:dyDescent="0.25">
      <c r="A5427" t="str">
        <f>"0611862306050"</f>
        <v>0611862306050</v>
      </c>
      <c r="B5427" t="str">
        <f>"CR2269"</f>
        <v>CR2269</v>
      </c>
      <c r="C5427" t="s">
        <v>5317</v>
      </c>
    </row>
    <row r="5428" spans="1:3" x14ac:dyDescent="0.25">
      <c r="A5428" t="str">
        <f>"0611862307050"</f>
        <v>0611862307050</v>
      </c>
      <c r="B5428" t="str">
        <f>"CR4986"</f>
        <v>CR4986</v>
      </c>
      <c r="C5428" t="s">
        <v>5318</v>
      </c>
    </row>
    <row r="5429" spans="1:3" x14ac:dyDescent="0.25">
      <c r="A5429" t="str">
        <f>"0611862308050"</f>
        <v>0611862308050</v>
      </c>
      <c r="B5429" t="str">
        <f>"CR2277"</f>
        <v>CR2277</v>
      </c>
      <c r="C5429" t="s">
        <v>5319</v>
      </c>
    </row>
    <row r="5430" spans="1:3" x14ac:dyDescent="0.25">
      <c r="A5430" t="str">
        <f>"0611837242100"</f>
        <v>0611837242100</v>
      </c>
      <c r="B5430" t="str">
        <f>"LS0031"</f>
        <v>LS0031</v>
      </c>
      <c r="C5430" t="s">
        <v>5340</v>
      </c>
    </row>
    <row r="5431" spans="1:3" x14ac:dyDescent="0.25">
      <c r="A5431" t="str">
        <f>"0611862309050"</f>
        <v>0611862309050</v>
      </c>
      <c r="B5431" t="str">
        <f>"CE1663"</f>
        <v>CE1663</v>
      </c>
      <c r="C5431" t="s">
        <v>5320</v>
      </c>
    </row>
    <row r="5432" spans="1:3" x14ac:dyDescent="0.25">
      <c r="A5432" t="str">
        <f>"0611862310050"</f>
        <v>0611862310050</v>
      </c>
      <c r="B5432" t="str">
        <f>"CE1664"</f>
        <v>CE1664</v>
      </c>
      <c r="C5432" t="s">
        <v>5321</v>
      </c>
    </row>
    <row r="5433" spans="1:3" x14ac:dyDescent="0.25">
      <c r="A5433" t="str">
        <f>"0611862311050"</f>
        <v>0611862311050</v>
      </c>
      <c r="B5433" t="str">
        <f>"CE1665"</f>
        <v>CE1665</v>
      </c>
      <c r="C5433" t="s">
        <v>5322</v>
      </c>
    </row>
    <row r="5434" spans="1:3" x14ac:dyDescent="0.25">
      <c r="A5434" t="str">
        <f>"0611837225100"</f>
        <v>0611837225100</v>
      </c>
      <c r="B5434" t="str">
        <f>"LB2882"</f>
        <v>LB2882</v>
      </c>
      <c r="C5434" t="s">
        <v>5323</v>
      </c>
    </row>
    <row r="5435" spans="1:3" x14ac:dyDescent="0.25">
      <c r="A5435" t="str">
        <f>"0611837226100"</f>
        <v>0611837226100</v>
      </c>
      <c r="B5435" t="str">
        <f>"LK1835"</f>
        <v>LK1835</v>
      </c>
      <c r="C5435" t="s">
        <v>5324</v>
      </c>
    </row>
    <row r="5436" spans="1:3" x14ac:dyDescent="0.25">
      <c r="A5436" t="str">
        <f>"0611837227100"</f>
        <v>0611837227100</v>
      </c>
      <c r="B5436" t="str">
        <f>"LB0461"</f>
        <v>LB0461</v>
      </c>
      <c r="C5436" t="s">
        <v>5325</v>
      </c>
    </row>
    <row r="5437" spans="1:3" x14ac:dyDescent="0.25">
      <c r="A5437" t="str">
        <f>"0611837229100"</f>
        <v>0611837229100</v>
      </c>
      <c r="B5437" t="str">
        <f>"LB2817"</f>
        <v>LB2817</v>
      </c>
      <c r="C5437" t="s">
        <v>5326</v>
      </c>
    </row>
    <row r="5438" spans="1:3" x14ac:dyDescent="0.25">
      <c r="A5438" t="str">
        <f>"0611837230100"</f>
        <v>0611837230100</v>
      </c>
      <c r="B5438" t="str">
        <f>"LK2103"</f>
        <v>LK2103</v>
      </c>
      <c r="C5438" t="s">
        <v>5327</v>
      </c>
    </row>
    <row r="5439" spans="1:3" x14ac:dyDescent="0.25">
      <c r="A5439" t="str">
        <f>"0611837231100"</f>
        <v>0611837231100</v>
      </c>
      <c r="B5439" t="str">
        <f>"LB2880"</f>
        <v>LB2880</v>
      </c>
      <c r="C5439" t="s">
        <v>5328</v>
      </c>
    </row>
    <row r="5440" spans="1:3" x14ac:dyDescent="0.25">
      <c r="A5440" t="str">
        <f>"0611837232100"</f>
        <v>0611837232100</v>
      </c>
      <c r="B5440" t="str">
        <f>"LK0155"</f>
        <v>LK0155</v>
      </c>
      <c r="C5440" t="s">
        <v>5329</v>
      </c>
    </row>
    <row r="5441" spans="1:3" x14ac:dyDescent="0.25">
      <c r="A5441" t="str">
        <f>"0611837233100"</f>
        <v>0611837233100</v>
      </c>
      <c r="B5441" t="str">
        <f>"LB2881"</f>
        <v>LB2881</v>
      </c>
      <c r="C5441" t="s">
        <v>5330</v>
      </c>
    </row>
    <row r="5442" spans="1:3" x14ac:dyDescent="0.25">
      <c r="A5442" t="str">
        <f>"0611837234100"</f>
        <v>0611837234100</v>
      </c>
      <c r="B5442" t="str">
        <f>"LK4997"</f>
        <v>LK4997</v>
      </c>
      <c r="C5442" t="s">
        <v>5331</v>
      </c>
    </row>
    <row r="5443" spans="1:3" x14ac:dyDescent="0.25">
      <c r="A5443" t="str">
        <f>"0611837235100"</f>
        <v>0611837235100</v>
      </c>
      <c r="B5443" t="str">
        <f>"LB2884"</f>
        <v>LB2884</v>
      </c>
      <c r="C5443" t="s">
        <v>5332</v>
      </c>
    </row>
    <row r="5444" spans="1:3" x14ac:dyDescent="0.25">
      <c r="A5444" t="str">
        <f>"0611837236100"</f>
        <v>0611837236100</v>
      </c>
      <c r="B5444" t="str">
        <f>"LB2889"</f>
        <v>LB2889</v>
      </c>
      <c r="C5444" t="s">
        <v>5333</v>
      </c>
    </row>
    <row r="5445" spans="1:3" x14ac:dyDescent="0.25">
      <c r="A5445" t="str">
        <f>"0611837237100"</f>
        <v>0611837237100</v>
      </c>
      <c r="B5445" t="str">
        <f>"LK5462"</f>
        <v>LK5462</v>
      </c>
      <c r="C5445" t="s">
        <v>5334</v>
      </c>
    </row>
    <row r="5446" spans="1:3" x14ac:dyDescent="0.25">
      <c r="A5446" t="str">
        <f>"0611837238100"</f>
        <v>0611837238100</v>
      </c>
      <c r="B5446" t="str">
        <f>"LB2874"</f>
        <v>LB2874</v>
      </c>
      <c r="C5446" t="s">
        <v>5335</v>
      </c>
    </row>
    <row r="5447" spans="1:3" x14ac:dyDescent="0.25">
      <c r="A5447" t="str">
        <f>"0611837239100"</f>
        <v>0611837239100</v>
      </c>
      <c r="B5447" t="str">
        <f>"LB2818"</f>
        <v>LB2818</v>
      </c>
      <c r="C5447" t="s">
        <v>5336</v>
      </c>
    </row>
    <row r="5448" spans="1:3" x14ac:dyDescent="0.25">
      <c r="A5448" t="str">
        <f>"0611837240100"</f>
        <v>0611837240100</v>
      </c>
      <c r="B5448" t="str">
        <f>"LK6332"</f>
        <v>LK6332</v>
      </c>
      <c r="C5448" t="s">
        <v>5337</v>
      </c>
    </row>
    <row r="5449" spans="1:3" x14ac:dyDescent="0.25">
      <c r="A5449" t="str">
        <f>"0611837241100"</f>
        <v>0611837241100</v>
      </c>
      <c r="B5449" t="str">
        <f>"LB2891"</f>
        <v>LB2891</v>
      </c>
      <c r="C5449" t="s">
        <v>5338</v>
      </c>
    </row>
    <row r="5450" spans="1:3" x14ac:dyDescent="0.25">
      <c r="A5450" t="str">
        <f>"0611834594025"</f>
        <v>0611834594025</v>
      </c>
      <c r="B5450" t="str">
        <f>"MC1174"</f>
        <v>MC1174</v>
      </c>
      <c r="C5450" t="s">
        <v>5339</v>
      </c>
    </row>
    <row r="5451" spans="1:3" x14ac:dyDescent="0.25">
      <c r="A5451" t="str">
        <f>"0611862312050"</f>
        <v>0611862312050</v>
      </c>
      <c r="B5451" t="str">
        <f>"CR2263"</f>
        <v>CR2263</v>
      </c>
      <c r="C5451" t="s">
        <v>5341</v>
      </c>
    </row>
    <row r="5452" spans="1:3" x14ac:dyDescent="0.25">
      <c r="A5452" t="str">
        <f>"0611862313050"</f>
        <v>0611862313050</v>
      </c>
      <c r="B5452" t="str">
        <f>"CR2264"</f>
        <v>CR2264</v>
      </c>
      <c r="C5452" t="s">
        <v>5342</v>
      </c>
    </row>
    <row r="5453" spans="1:3" x14ac:dyDescent="0.25">
      <c r="A5453" t="str">
        <f>"0611862314050"</f>
        <v>0611862314050</v>
      </c>
      <c r="B5453" t="str">
        <f>"CR2265"</f>
        <v>CR2265</v>
      </c>
      <c r="C5453" t="s">
        <v>5343</v>
      </c>
    </row>
    <row r="5454" spans="1:3" x14ac:dyDescent="0.25">
      <c r="A5454" t="str">
        <f>"0611862315050"</f>
        <v>0611862315050</v>
      </c>
      <c r="B5454" t="str">
        <f>"CE1483"</f>
        <v>CE1483</v>
      </c>
      <c r="C5454" t="s">
        <v>5344</v>
      </c>
    </row>
    <row r="5455" spans="1:3" x14ac:dyDescent="0.25">
      <c r="A5455" t="str">
        <f>"0611862316050"</f>
        <v>0611862316050</v>
      </c>
      <c r="B5455" t="str">
        <f>"CE1608"</f>
        <v>CE1608</v>
      </c>
      <c r="C5455" t="s">
        <v>5345</v>
      </c>
    </row>
    <row r="5456" spans="1:3" x14ac:dyDescent="0.25">
      <c r="A5456" t="str">
        <f>"0611862317050"</f>
        <v>0611862317050</v>
      </c>
      <c r="B5456" t="str">
        <f>"CE1284"</f>
        <v>CE1284</v>
      </c>
      <c r="C5456" t="s">
        <v>5346</v>
      </c>
    </row>
    <row r="5457" spans="1:3" x14ac:dyDescent="0.25">
      <c r="A5457" t="str">
        <f>"0611862318050"</f>
        <v>0611862318050</v>
      </c>
      <c r="B5457" t="str">
        <f>"CE1609"</f>
        <v>CE1609</v>
      </c>
      <c r="C5457" t="s">
        <v>5347</v>
      </c>
    </row>
    <row r="5458" spans="1:3" x14ac:dyDescent="0.25">
      <c r="A5458" t="str">
        <f>"0611862319050"</f>
        <v>0611862319050</v>
      </c>
      <c r="B5458" t="str">
        <f>"CE1666"</f>
        <v>CE1666</v>
      </c>
      <c r="C5458" t="s">
        <v>5348</v>
      </c>
    </row>
    <row r="5459" spans="1:3" x14ac:dyDescent="0.25">
      <c r="A5459" t="str">
        <f>"0611862320050"</f>
        <v>0611862320050</v>
      </c>
      <c r="B5459" t="str">
        <f>"CE1484"</f>
        <v>CE1484</v>
      </c>
      <c r="C5459" t="s">
        <v>5349</v>
      </c>
    </row>
    <row r="5460" spans="1:3" x14ac:dyDescent="0.25">
      <c r="A5460" t="str">
        <f>"0611862321050"</f>
        <v>0611862321050</v>
      </c>
      <c r="B5460" t="str">
        <f>"CE1485"</f>
        <v>CE1485</v>
      </c>
      <c r="C5460" t="s">
        <v>5350</v>
      </c>
    </row>
    <row r="5461" spans="1:3" x14ac:dyDescent="0.25">
      <c r="A5461" t="str">
        <f>"0611884233050"</f>
        <v>0611884233050</v>
      </c>
      <c r="B5461" t="str">
        <f>"CE1343"</f>
        <v>CE1343</v>
      </c>
      <c r="C5461" t="s">
        <v>5351</v>
      </c>
    </row>
    <row r="5462" spans="1:3" x14ac:dyDescent="0.25">
      <c r="A5462" t="str">
        <f>"0611862322050"</f>
        <v>0611862322050</v>
      </c>
      <c r="B5462" t="str">
        <f>"CE1486"</f>
        <v>CE1486</v>
      </c>
      <c r="C5462" t="s">
        <v>5352</v>
      </c>
    </row>
    <row r="5463" spans="1:3" x14ac:dyDescent="0.25">
      <c r="A5463" t="str">
        <f>"0611893601050"</f>
        <v>0611893601050</v>
      </c>
      <c r="B5463" t="str">
        <f>"CE1775"</f>
        <v>CE1775</v>
      </c>
      <c r="C5463" t="s">
        <v>5353</v>
      </c>
    </row>
    <row r="5464" spans="1:3" x14ac:dyDescent="0.25">
      <c r="A5464" t="str">
        <f>"0611862323050"</f>
        <v>0611862323050</v>
      </c>
      <c r="B5464" t="str">
        <f>"CE1191"</f>
        <v>CE1191</v>
      </c>
      <c r="C5464" t="s">
        <v>5354</v>
      </c>
    </row>
    <row r="5465" spans="1:3" x14ac:dyDescent="0.25">
      <c r="A5465" t="str">
        <f>"0611862324050"</f>
        <v>0611862324050</v>
      </c>
      <c r="B5465" t="str">
        <f>"CE1192"</f>
        <v>CE1192</v>
      </c>
      <c r="C5465" t="s">
        <v>13856</v>
      </c>
    </row>
    <row r="5466" spans="1:3" x14ac:dyDescent="0.25">
      <c r="A5466" t="str">
        <f>"0611862325050"</f>
        <v>0611862325050</v>
      </c>
      <c r="B5466" t="str">
        <f>"CE1194"</f>
        <v>CE1194</v>
      </c>
      <c r="C5466" t="s">
        <v>5355</v>
      </c>
    </row>
    <row r="5467" spans="1:3" x14ac:dyDescent="0.25">
      <c r="A5467" t="str">
        <f>"0611862326050"</f>
        <v>0611862326050</v>
      </c>
      <c r="B5467" t="str">
        <f>"CE1285"</f>
        <v>CE1285</v>
      </c>
      <c r="C5467" t="s">
        <v>5356</v>
      </c>
    </row>
    <row r="5468" spans="1:3" x14ac:dyDescent="0.25">
      <c r="A5468" t="str">
        <f>"0611862327050"</f>
        <v>0611862327050</v>
      </c>
      <c r="B5468" t="str">
        <f>"CE1487"</f>
        <v>CE1487</v>
      </c>
      <c r="C5468" t="s">
        <v>5357</v>
      </c>
    </row>
    <row r="5469" spans="1:3" x14ac:dyDescent="0.25">
      <c r="A5469" t="str">
        <f>"0611862328050"</f>
        <v>0611862328050</v>
      </c>
      <c r="B5469" t="str">
        <f>"CE1193"</f>
        <v>CE1193</v>
      </c>
      <c r="C5469" t="s">
        <v>5358</v>
      </c>
    </row>
    <row r="5470" spans="1:3" x14ac:dyDescent="0.25">
      <c r="A5470" t="str">
        <f>"0611862329050"</f>
        <v>0611862329050</v>
      </c>
      <c r="B5470" t="str">
        <f>"CE1610"</f>
        <v>CE1610</v>
      </c>
      <c r="C5470" t="s">
        <v>5359</v>
      </c>
    </row>
    <row r="5471" spans="1:3" x14ac:dyDescent="0.25">
      <c r="A5471" t="str">
        <f>"0611862330050"</f>
        <v>0611862330050</v>
      </c>
      <c r="B5471" t="str">
        <f>"CE1195"</f>
        <v>CE1195</v>
      </c>
      <c r="C5471" t="s">
        <v>5360</v>
      </c>
    </row>
    <row r="5472" spans="1:3" x14ac:dyDescent="0.25">
      <c r="A5472" t="str">
        <f>"0611862331050"</f>
        <v>0611862331050</v>
      </c>
      <c r="B5472" t="str">
        <f>"CE1488"</f>
        <v>CE1488</v>
      </c>
      <c r="C5472" t="s">
        <v>5361</v>
      </c>
    </row>
    <row r="5473" spans="1:3" x14ac:dyDescent="0.25">
      <c r="A5473" t="str">
        <f>"0611862332050"</f>
        <v>0611862332050</v>
      </c>
      <c r="B5473" t="str">
        <f>"CE1196"</f>
        <v>CE1196</v>
      </c>
      <c r="C5473" t="s">
        <v>5362</v>
      </c>
    </row>
    <row r="5474" spans="1:3" x14ac:dyDescent="0.25">
      <c r="A5474" t="str">
        <f>"0611837244100"</f>
        <v>0611837244100</v>
      </c>
      <c r="B5474" t="str">
        <f>"LK4774"</f>
        <v>LK4774</v>
      </c>
      <c r="C5474" t="s">
        <v>5363</v>
      </c>
    </row>
    <row r="5475" spans="1:3" x14ac:dyDescent="0.25">
      <c r="A5475" t="str">
        <f>"0611837245100"</f>
        <v>0611837245100</v>
      </c>
      <c r="B5475" t="str">
        <f>"LK5755"</f>
        <v>LK5755</v>
      </c>
      <c r="C5475" t="s">
        <v>5364</v>
      </c>
    </row>
    <row r="5476" spans="1:3" x14ac:dyDescent="0.25">
      <c r="A5476" t="str">
        <f>"0611837247100"</f>
        <v>0611837247100</v>
      </c>
      <c r="B5476" t="str">
        <f>"LK7011"</f>
        <v>LK7011</v>
      </c>
      <c r="C5476" t="s">
        <v>5365</v>
      </c>
    </row>
    <row r="5477" spans="1:3" x14ac:dyDescent="0.25">
      <c r="A5477" t="str">
        <f>"0611837248100"</f>
        <v>0611837248100</v>
      </c>
      <c r="B5477" t="str">
        <f>"LB2823"</f>
        <v>LB2823</v>
      </c>
      <c r="C5477" t="s">
        <v>5366</v>
      </c>
    </row>
    <row r="5478" spans="1:3" x14ac:dyDescent="0.25">
      <c r="A5478" t="str">
        <f>"0611837249100"</f>
        <v>0611837249100</v>
      </c>
      <c r="B5478" t="str">
        <f>"LB2824"</f>
        <v>LB2824</v>
      </c>
      <c r="C5478" t="s">
        <v>5367</v>
      </c>
    </row>
    <row r="5479" spans="1:3" x14ac:dyDescent="0.25">
      <c r="A5479" t="str">
        <f>"0611837250100"</f>
        <v>0611837250100</v>
      </c>
      <c r="B5479" t="str">
        <f>"LB2825"</f>
        <v>LB2825</v>
      </c>
      <c r="C5479" t="s">
        <v>5368</v>
      </c>
    </row>
    <row r="5480" spans="1:3" x14ac:dyDescent="0.25">
      <c r="A5480" t="str">
        <f>"0611837251100"</f>
        <v>0611837251100</v>
      </c>
      <c r="B5480" t="str">
        <f>"LK4998"</f>
        <v>LK4998</v>
      </c>
      <c r="C5480" t="s">
        <v>5369</v>
      </c>
    </row>
    <row r="5481" spans="1:3" x14ac:dyDescent="0.25">
      <c r="A5481" t="str">
        <f>"0611837252100"</f>
        <v>0611837252100</v>
      </c>
      <c r="B5481" t="str">
        <f>"LB2828"</f>
        <v>LB2828</v>
      </c>
      <c r="C5481" t="s">
        <v>5370</v>
      </c>
    </row>
    <row r="5482" spans="1:3" x14ac:dyDescent="0.25">
      <c r="A5482" t="str">
        <f>"0611837254100"</f>
        <v>0611837254100</v>
      </c>
      <c r="B5482" t="str">
        <f>"LK5246"</f>
        <v>LK5246</v>
      </c>
      <c r="C5482" t="s">
        <v>5371</v>
      </c>
    </row>
    <row r="5483" spans="1:3" x14ac:dyDescent="0.25">
      <c r="A5483" t="str">
        <f>"0611856960100"</f>
        <v>0611856960100</v>
      </c>
      <c r="B5483" t="str">
        <f>"LQ3883"</f>
        <v>LQ3883</v>
      </c>
      <c r="C5483" t="s">
        <v>5372</v>
      </c>
    </row>
    <row r="5484" spans="1:3" x14ac:dyDescent="0.25">
      <c r="A5484" t="str">
        <f>"0611862333050"</f>
        <v>0611862333050</v>
      </c>
      <c r="B5484" t="str">
        <f>"CR2221"</f>
        <v>CR2221</v>
      </c>
      <c r="C5484" t="s">
        <v>5373</v>
      </c>
    </row>
    <row r="5485" spans="1:3" x14ac:dyDescent="0.25">
      <c r="A5485" t="str">
        <f>"0611862337050"</f>
        <v>0611862337050</v>
      </c>
      <c r="B5485" t="str">
        <f>"CR3536"</f>
        <v>CR3536</v>
      </c>
      <c r="C5485" t="s">
        <v>5377</v>
      </c>
    </row>
    <row r="5486" spans="1:3" x14ac:dyDescent="0.25">
      <c r="A5486" t="str">
        <f>"0611862334050"</f>
        <v>0611862334050</v>
      </c>
      <c r="B5486" t="str">
        <f>"CR2278"</f>
        <v>CR2278</v>
      </c>
      <c r="C5486" t="s">
        <v>5374</v>
      </c>
    </row>
    <row r="5487" spans="1:3" x14ac:dyDescent="0.25">
      <c r="A5487" t="str">
        <f>"0611862335050"</f>
        <v>0611862335050</v>
      </c>
      <c r="B5487" t="str">
        <f>"CR2279"</f>
        <v>CR2279</v>
      </c>
      <c r="C5487" t="s">
        <v>5375</v>
      </c>
    </row>
    <row r="5488" spans="1:3" x14ac:dyDescent="0.25">
      <c r="A5488" t="str">
        <f>"0611862336050"</f>
        <v>0611862336050</v>
      </c>
      <c r="B5488" t="str">
        <f>"CR2280"</f>
        <v>CR2280</v>
      </c>
      <c r="C5488" t="s">
        <v>5376</v>
      </c>
    </row>
    <row r="5489" spans="1:3" x14ac:dyDescent="0.25">
      <c r="A5489" t="str">
        <f>"0611862338050"</f>
        <v>0611862338050</v>
      </c>
      <c r="B5489" t="str">
        <f>"CR2281"</f>
        <v>CR2281</v>
      </c>
      <c r="C5489" t="s">
        <v>5378</v>
      </c>
    </row>
    <row r="5490" spans="1:3" x14ac:dyDescent="0.25">
      <c r="A5490" t="str">
        <f>"0611862339050"</f>
        <v>0611862339050</v>
      </c>
      <c r="B5490" t="str">
        <f>"CR2283"</f>
        <v>CR2283</v>
      </c>
      <c r="C5490" t="s">
        <v>5379</v>
      </c>
    </row>
    <row r="5491" spans="1:3" x14ac:dyDescent="0.25">
      <c r="A5491" t="str">
        <f>"0611862340050"</f>
        <v>0611862340050</v>
      </c>
      <c r="B5491" t="str">
        <f>"CR2284"</f>
        <v>CR2284</v>
      </c>
      <c r="C5491" t="s">
        <v>5380</v>
      </c>
    </row>
    <row r="5492" spans="1:3" x14ac:dyDescent="0.25">
      <c r="A5492" t="str">
        <f>"0611862341050"</f>
        <v>0611862341050</v>
      </c>
      <c r="B5492" t="str">
        <f>"CR2285"</f>
        <v>CR2285</v>
      </c>
      <c r="C5492" t="s">
        <v>5381</v>
      </c>
    </row>
    <row r="5493" spans="1:3" x14ac:dyDescent="0.25">
      <c r="A5493" t="str">
        <f>"0611862342050"</f>
        <v>0611862342050</v>
      </c>
      <c r="B5493" t="str">
        <f>"CR2287"</f>
        <v>CR2287</v>
      </c>
      <c r="C5493" t="s">
        <v>5382</v>
      </c>
    </row>
    <row r="5494" spans="1:3" x14ac:dyDescent="0.25">
      <c r="A5494" t="str">
        <f>"0611862343050"</f>
        <v>0611862343050</v>
      </c>
      <c r="B5494" t="str">
        <f>"CR4843"</f>
        <v>CR4843</v>
      </c>
      <c r="C5494" t="s">
        <v>5383</v>
      </c>
    </row>
    <row r="5495" spans="1:3" x14ac:dyDescent="0.25">
      <c r="A5495" t="str">
        <f>"0611862344050"</f>
        <v>0611862344050</v>
      </c>
      <c r="B5495" t="str">
        <f>"CR2288"</f>
        <v>CR2288</v>
      </c>
      <c r="C5495" t="s">
        <v>5384</v>
      </c>
    </row>
    <row r="5496" spans="1:3" x14ac:dyDescent="0.25">
      <c r="A5496" t="str">
        <f>"0611862345050"</f>
        <v>0611862345050</v>
      </c>
      <c r="B5496" t="str">
        <f>"CR2290"</f>
        <v>CR2290</v>
      </c>
      <c r="C5496" t="s">
        <v>5385</v>
      </c>
    </row>
    <row r="5497" spans="1:3" x14ac:dyDescent="0.25">
      <c r="A5497" t="str">
        <f>"0611862346050"</f>
        <v>0611862346050</v>
      </c>
      <c r="B5497" t="str">
        <f>"CR2291"</f>
        <v>CR2291</v>
      </c>
      <c r="C5497" t="s">
        <v>5386</v>
      </c>
    </row>
    <row r="5498" spans="1:3" x14ac:dyDescent="0.25">
      <c r="A5498" t="str">
        <f>"0611862347050"</f>
        <v>0611862347050</v>
      </c>
      <c r="B5498" t="str">
        <f>"CR2293"</f>
        <v>CR2293</v>
      </c>
      <c r="C5498" t="s">
        <v>5387</v>
      </c>
    </row>
    <row r="5499" spans="1:3" x14ac:dyDescent="0.25">
      <c r="A5499" t="str">
        <f>"0611862348050"</f>
        <v>0611862348050</v>
      </c>
      <c r="B5499" t="str">
        <f>"CR2294"</f>
        <v>CR2294</v>
      </c>
      <c r="C5499" t="s">
        <v>5388</v>
      </c>
    </row>
    <row r="5500" spans="1:3" x14ac:dyDescent="0.25">
      <c r="A5500" t="str">
        <f>"0611862349050"</f>
        <v>0611862349050</v>
      </c>
      <c r="B5500" t="str">
        <f>"CR2295"</f>
        <v>CR2295</v>
      </c>
      <c r="C5500" t="s">
        <v>5389</v>
      </c>
    </row>
    <row r="5501" spans="1:3" x14ac:dyDescent="0.25">
      <c r="A5501" t="str">
        <f>"0611837255100"</f>
        <v>0611837255100</v>
      </c>
      <c r="B5501" t="str">
        <f>"LK6832"</f>
        <v>LK6832</v>
      </c>
      <c r="C5501" t="s">
        <v>5390</v>
      </c>
    </row>
    <row r="5502" spans="1:3" x14ac:dyDescent="0.25">
      <c r="A5502" t="str">
        <f>"0611837256100"</f>
        <v>0611837256100</v>
      </c>
      <c r="B5502" t="str">
        <f>"LK5248"</f>
        <v>LK5248</v>
      </c>
      <c r="C5502" t="s">
        <v>5391</v>
      </c>
    </row>
    <row r="5503" spans="1:3" x14ac:dyDescent="0.25">
      <c r="A5503" t="str">
        <f>"0611837279100"</f>
        <v>0611837279100</v>
      </c>
      <c r="B5503" t="str">
        <f>"LS0033"</f>
        <v>LS0033</v>
      </c>
      <c r="C5503" t="s">
        <v>5414</v>
      </c>
    </row>
    <row r="5504" spans="1:3" x14ac:dyDescent="0.25">
      <c r="A5504" t="str">
        <f>"0611837257100"</f>
        <v>0611837257100</v>
      </c>
      <c r="B5504" t="str">
        <f>"LB4225"</f>
        <v>LB4225</v>
      </c>
      <c r="C5504" t="s">
        <v>5392</v>
      </c>
    </row>
    <row r="5505" spans="1:3" x14ac:dyDescent="0.25">
      <c r="A5505" t="str">
        <f>"0611862350050"</f>
        <v>0611862350050</v>
      </c>
      <c r="B5505" t="str">
        <f>"CR2296"</f>
        <v>CR2296</v>
      </c>
      <c r="C5505" t="s">
        <v>5393</v>
      </c>
    </row>
    <row r="5506" spans="1:3" x14ac:dyDescent="0.25">
      <c r="A5506" t="str">
        <f>"0611862351050"</f>
        <v>0611862351050</v>
      </c>
      <c r="B5506" t="str">
        <f>"CR2298"</f>
        <v>CR2298</v>
      </c>
      <c r="C5506" t="s">
        <v>5394</v>
      </c>
    </row>
    <row r="5507" spans="1:3" x14ac:dyDescent="0.25">
      <c r="A5507" t="str">
        <f>"0611837260100"</f>
        <v>0611837260100</v>
      </c>
      <c r="B5507" t="str">
        <f>"LB2922"</f>
        <v>LB2922</v>
      </c>
      <c r="C5507" t="s">
        <v>5395</v>
      </c>
    </row>
    <row r="5508" spans="1:3" x14ac:dyDescent="0.25">
      <c r="A5508" t="str">
        <f>"0611837262100"</f>
        <v>0611837262100</v>
      </c>
      <c r="B5508" t="str">
        <f>"LK4816"</f>
        <v>LK4816</v>
      </c>
      <c r="C5508" t="s">
        <v>5396</v>
      </c>
    </row>
    <row r="5509" spans="1:3" x14ac:dyDescent="0.25">
      <c r="A5509" t="str">
        <f>"0611837263100"</f>
        <v>0611837263100</v>
      </c>
      <c r="B5509" t="str">
        <f>"LK4817"</f>
        <v>LK4817</v>
      </c>
      <c r="C5509" t="s">
        <v>5397</v>
      </c>
    </row>
    <row r="5510" spans="1:3" x14ac:dyDescent="0.25">
      <c r="A5510" t="str">
        <f>"0611837264100"</f>
        <v>0611837264100</v>
      </c>
      <c r="B5510" t="str">
        <f>"LK4818"</f>
        <v>LK4818</v>
      </c>
      <c r="C5510" t="s">
        <v>5398</v>
      </c>
    </row>
    <row r="5511" spans="1:3" x14ac:dyDescent="0.25">
      <c r="A5511" t="str">
        <f>"0611884234100"</f>
        <v>0611884234100</v>
      </c>
      <c r="B5511" t="str">
        <f>"LK7164"</f>
        <v>LK7164</v>
      </c>
      <c r="C5511" t="s">
        <v>5399</v>
      </c>
    </row>
    <row r="5512" spans="1:3" x14ac:dyDescent="0.25">
      <c r="A5512" t="str">
        <f>"0611837265100"</f>
        <v>0611837265100</v>
      </c>
      <c r="B5512" t="str">
        <f>"LK6237"</f>
        <v>LK6237</v>
      </c>
      <c r="C5512" t="s">
        <v>5400</v>
      </c>
    </row>
    <row r="5513" spans="1:3" x14ac:dyDescent="0.25">
      <c r="A5513" t="str">
        <f>"0611837267100"</f>
        <v>0611837267100</v>
      </c>
      <c r="B5513" t="str">
        <f>"LK4819"</f>
        <v>LK4819</v>
      </c>
      <c r="C5513" t="s">
        <v>5401</v>
      </c>
    </row>
    <row r="5514" spans="1:3" x14ac:dyDescent="0.25">
      <c r="A5514" t="str">
        <f>"0611837266100"</f>
        <v>0611837266100</v>
      </c>
      <c r="B5514" t="str">
        <f>"LK5563"</f>
        <v>LK5563</v>
      </c>
      <c r="C5514" t="s">
        <v>5402</v>
      </c>
    </row>
    <row r="5515" spans="1:3" x14ac:dyDescent="0.25">
      <c r="A5515" t="str">
        <f>"0611837268100"</f>
        <v>0611837268100</v>
      </c>
      <c r="B5515" t="str">
        <f>"LK5564"</f>
        <v>LK5564</v>
      </c>
      <c r="C5515" t="s">
        <v>5403</v>
      </c>
    </row>
    <row r="5516" spans="1:3" x14ac:dyDescent="0.25">
      <c r="A5516" t="str">
        <f>"0611837269100"</f>
        <v>0611837269100</v>
      </c>
      <c r="B5516" t="str">
        <f>"LK6051"</f>
        <v>LK6051</v>
      </c>
      <c r="C5516" t="s">
        <v>5404</v>
      </c>
    </row>
    <row r="5517" spans="1:3" x14ac:dyDescent="0.25">
      <c r="A5517" t="str">
        <f>"0611837270100"</f>
        <v>0611837270100</v>
      </c>
      <c r="B5517" t="str">
        <f>"LK5463"</f>
        <v>LK5463</v>
      </c>
      <c r="C5517" t="s">
        <v>5405</v>
      </c>
    </row>
    <row r="5518" spans="1:3" x14ac:dyDescent="0.25">
      <c r="A5518" t="str">
        <f>"0611837271100"</f>
        <v>0611837271100</v>
      </c>
      <c r="B5518" t="str">
        <f>"LK5464"</f>
        <v>LK5464</v>
      </c>
      <c r="C5518" t="s">
        <v>5406</v>
      </c>
    </row>
    <row r="5519" spans="1:3" x14ac:dyDescent="0.25">
      <c r="A5519" t="str">
        <f>"0611837272100"</f>
        <v>0611837272100</v>
      </c>
      <c r="B5519" t="str">
        <f>"LK4821"</f>
        <v>LK4821</v>
      </c>
      <c r="C5519" t="s">
        <v>5407</v>
      </c>
    </row>
    <row r="5520" spans="1:3" x14ac:dyDescent="0.25">
      <c r="A5520" t="str">
        <f>"0611837261100"</f>
        <v>0611837261100</v>
      </c>
      <c r="B5520" t="str">
        <f>"LK4822"</f>
        <v>LK4822</v>
      </c>
      <c r="C5520" t="s">
        <v>5408</v>
      </c>
    </row>
    <row r="5521" spans="1:3" x14ac:dyDescent="0.25">
      <c r="A5521" t="str">
        <f>"0611837273100"</f>
        <v>0611837273100</v>
      </c>
      <c r="B5521" t="str">
        <f>"LK4823"</f>
        <v>LK4823</v>
      </c>
      <c r="C5521" t="s">
        <v>5409</v>
      </c>
    </row>
    <row r="5522" spans="1:3" x14ac:dyDescent="0.25">
      <c r="A5522" t="str">
        <f>"0611837274100"</f>
        <v>0611837274100</v>
      </c>
      <c r="B5522" t="str">
        <f>"LK4824"</f>
        <v>LK4824</v>
      </c>
      <c r="C5522" t="s">
        <v>5410</v>
      </c>
    </row>
    <row r="5523" spans="1:3" x14ac:dyDescent="0.25">
      <c r="A5523" t="str">
        <f>"0611837276100"</f>
        <v>0611837276100</v>
      </c>
      <c r="B5523" t="str">
        <f>"LB2926"</f>
        <v>LB2926</v>
      </c>
      <c r="C5523" t="s">
        <v>5411</v>
      </c>
    </row>
    <row r="5524" spans="1:3" x14ac:dyDescent="0.25">
      <c r="A5524" t="str">
        <f>"0611837275100"</f>
        <v>0611837275100</v>
      </c>
      <c r="B5524" t="str">
        <f>"LK5425"</f>
        <v>LK5425</v>
      </c>
      <c r="C5524" t="s">
        <v>5412</v>
      </c>
    </row>
    <row r="5525" spans="1:3" x14ac:dyDescent="0.25">
      <c r="A5525" t="str">
        <f>"0611837277100"</f>
        <v>0611837277100</v>
      </c>
      <c r="B5525" t="str">
        <f>"LB2915"</f>
        <v>LB2915</v>
      </c>
      <c r="C5525" t="s">
        <v>5413</v>
      </c>
    </row>
    <row r="5526" spans="1:3" x14ac:dyDescent="0.25">
      <c r="A5526" t="str">
        <f>"0611862352050"</f>
        <v>0611862352050</v>
      </c>
      <c r="B5526" t="str">
        <f>"CE1210"</f>
        <v>CE1210</v>
      </c>
      <c r="C5526" t="s">
        <v>5415</v>
      </c>
    </row>
    <row r="5527" spans="1:3" x14ac:dyDescent="0.25">
      <c r="A5527" t="str">
        <f>"0611837280100"</f>
        <v>0611837280100</v>
      </c>
      <c r="B5527" t="str">
        <f>"LS0034"</f>
        <v>LS0034</v>
      </c>
      <c r="C5527" t="s">
        <v>5416</v>
      </c>
    </row>
    <row r="5528" spans="1:3" x14ac:dyDescent="0.25">
      <c r="A5528" t="str">
        <f>"0611834595100"</f>
        <v>0611834595100</v>
      </c>
      <c r="B5528" t="str">
        <f>"LC9609"</f>
        <v>LC9609</v>
      </c>
      <c r="C5528" t="s">
        <v>5417</v>
      </c>
    </row>
    <row r="5529" spans="1:3" x14ac:dyDescent="0.25">
      <c r="A5529" t="str">
        <f>"0611837286100"</f>
        <v>0611837286100</v>
      </c>
      <c r="B5529" t="str">
        <f>"LS0035"</f>
        <v>LS0035</v>
      </c>
      <c r="C5529" t="s">
        <v>5418</v>
      </c>
    </row>
    <row r="5530" spans="1:3" x14ac:dyDescent="0.25">
      <c r="A5530" t="str">
        <f>"0611837287100"</f>
        <v>0611837287100</v>
      </c>
      <c r="B5530" t="str">
        <f>"LB2979"</f>
        <v>LB2979</v>
      </c>
      <c r="C5530" t="s">
        <v>5419</v>
      </c>
    </row>
    <row r="5531" spans="1:3" x14ac:dyDescent="0.25">
      <c r="A5531" t="str">
        <f>"0611837288100"</f>
        <v>0611837288100</v>
      </c>
      <c r="B5531" t="str">
        <f>"LK0716"</f>
        <v>LK0716</v>
      </c>
      <c r="C5531" t="s">
        <v>5420</v>
      </c>
    </row>
    <row r="5532" spans="1:3" x14ac:dyDescent="0.25">
      <c r="A5532" t="str">
        <f>"0611837289100"</f>
        <v>0611837289100</v>
      </c>
      <c r="B5532" t="str">
        <f>"LB2964"</f>
        <v>LB2964</v>
      </c>
      <c r="C5532" t="s">
        <v>5421</v>
      </c>
    </row>
    <row r="5533" spans="1:3" x14ac:dyDescent="0.25">
      <c r="A5533" t="str">
        <f>"0611837290100"</f>
        <v>0611837290100</v>
      </c>
      <c r="B5533" t="str">
        <f>"LB2965"</f>
        <v>LB2965</v>
      </c>
      <c r="C5533" t="s">
        <v>5422</v>
      </c>
    </row>
    <row r="5534" spans="1:3" x14ac:dyDescent="0.25">
      <c r="A5534" t="str">
        <f>"0611837291100"</f>
        <v>0611837291100</v>
      </c>
      <c r="B5534" t="str">
        <f>"LB2876"</f>
        <v>LB2876</v>
      </c>
      <c r="C5534" t="s">
        <v>5423</v>
      </c>
    </row>
    <row r="5535" spans="1:3" x14ac:dyDescent="0.25">
      <c r="A5535" t="str">
        <f>"0611837292100"</f>
        <v>0611837292100</v>
      </c>
      <c r="B5535" t="str">
        <f>"LB2717"</f>
        <v>LB2717</v>
      </c>
      <c r="C5535" t="s">
        <v>5424</v>
      </c>
    </row>
    <row r="5536" spans="1:3" x14ac:dyDescent="0.25">
      <c r="A5536" t="str">
        <f>"0611837293100"</f>
        <v>0611837293100</v>
      </c>
      <c r="B5536" t="str">
        <f>"LB2877"</f>
        <v>LB2877</v>
      </c>
      <c r="C5536" t="s">
        <v>5425</v>
      </c>
    </row>
    <row r="5537" spans="1:3" x14ac:dyDescent="0.25">
      <c r="A5537" t="str">
        <f>"0611837294100"</f>
        <v>0611837294100</v>
      </c>
      <c r="B5537" t="str">
        <f>"LB2980"</f>
        <v>LB2980</v>
      </c>
      <c r="C5537" t="s">
        <v>5426</v>
      </c>
    </row>
    <row r="5538" spans="1:3" x14ac:dyDescent="0.25">
      <c r="A5538" t="str">
        <f>"0611837295100"</f>
        <v>0611837295100</v>
      </c>
      <c r="B5538" t="str">
        <f>"LB2967"</f>
        <v>LB2967</v>
      </c>
      <c r="C5538" t="s">
        <v>5427</v>
      </c>
    </row>
    <row r="5539" spans="1:3" x14ac:dyDescent="0.25">
      <c r="A5539" t="str">
        <f>"0611837296100"</f>
        <v>0611837296100</v>
      </c>
      <c r="B5539" t="str">
        <f>"LB2981"</f>
        <v>LB2981</v>
      </c>
      <c r="C5539" t="s">
        <v>5428</v>
      </c>
    </row>
    <row r="5540" spans="1:3" x14ac:dyDescent="0.25">
      <c r="A5540" t="str">
        <f>"0611837297100"</f>
        <v>0611837297100</v>
      </c>
      <c r="B5540" t="str">
        <f>"LB2968"</f>
        <v>LB2968</v>
      </c>
      <c r="C5540" t="s">
        <v>5429</v>
      </c>
    </row>
    <row r="5541" spans="1:3" x14ac:dyDescent="0.25">
      <c r="A5541" t="str">
        <f>"0611837298100"</f>
        <v>0611837298100</v>
      </c>
      <c r="B5541" t="str">
        <f>"LB2975"</f>
        <v>LB2975</v>
      </c>
      <c r="C5541" t="s">
        <v>5430</v>
      </c>
    </row>
    <row r="5542" spans="1:3" x14ac:dyDescent="0.25">
      <c r="A5542" t="str">
        <f>"0611862353050"</f>
        <v>0611862353050</v>
      </c>
      <c r="B5542" t="str">
        <f>"CE0699"</f>
        <v>CE0699</v>
      </c>
      <c r="C5542" t="s">
        <v>5431</v>
      </c>
    </row>
    <row r="5543" spans="1:3" x14ac:dyDescent="0.25">
      <c r="A5543" t="str">
        <f>"0611862354050"</f>
        <v>0611862354050</v>
      </c>
      <c r="B5543" t="str">
        <f>"CE0700"</f>
        <v>CE0700</v>
      </c>
      <c r="C5543" t="s">
        <v>5432</v>
      </c>
    </row>
    <row r="5544" spans="1:3" x14ac:dyDescent="0.25">
      <c r="A5544" t="str">
        <f>"0611862355050"</f>
        <v>0611862355050</v>
      </c>
      <c r="B5544" t="str">
        <f>"CE0698"</f>
        <v>CE0698</v>
      </c>
      <c r="C5544" t="s">
        <v>5433</v>
      </c>
    </row>
    <row r="5545" spans="1:3" x14ac:dyDescent="0.25">
      <c r="A5545" t="str">
        <f>"0611862356050"</f>
        <v>0611862356050</v>
      </c>
      <c r="B5545" t="str">
        <f>"CE0701"</f>
        <v>CE0701</v>
      </c>
      <c r="C5545" t="s">
        <v>5434</v>
      </c>
    </row>
    <row r="5546" spans="1:3" x14ac:dyDescent="0.25">
      <c r="A5546" t="str">
        <f>"0611862357050"</f>
        <v>0611862357050</v>
      </c>
      <c r="B5546" t="str">
        <f>"CE0702"</f>
        <v>CE0702</v>
      </c>
      <c r="C5546" t="s">
        <v>5435</v>
      </c>
    </row>
    <row r="5547" spans="1:3" x14ac:dyDescent="0.25">
      <c r="A5547" t="str">
        <f>"0611862358050"</f>
        <v>0611862358050</v>
      </c>
      <c r="B5547" t="str">
        <f>"CE0703"</f>
        <v>CE0703</v>
      </c>
      <c r="C5547" t="s">
        <v>5436</v>
      </c>
    </row>
    <row r="5548" spans="1:3" x14ac:dyDescent="0.25">
      <c r="A5548" t="str">
        <f>"0611862359050"</f>
        <v>0611862359050</v>
      </c>
      <c r="B5548" t="str">
        <f>"CE0704"</f>
        <v>CE0704</v>
      </c>
      <c r="C5548" t="s">
        <v>5437</v>
      </c>
    </row>
    <row r="5549" spans="1:3" x14ac:dyDescent="0.25">
      <c r="A5549" t="str">
        <f>"0611862360050"</f>
        <v>0611862360050</v>
      </c>
      <c r="B5549" t="str">
        <f>"CE0705"</f>
        <v>CE0705</v>
      </c>
      <c r="C5549" t="s">
        <v>5438</v>
      </c>
    </row>
    <row r="5550" spans="1:3" x14ac:dyDescent="0.25">
      <c r="A5550" t="str">
        <f>"0611862361050"</f>
        <v>0611862361050</v>
      </c>
      <c r="B5550" t="str">
        <f>"CE0706"</f>
        <v>CE0706</v>
      </c>
      <c r="C5550" t="s">
        <v>13857</v>
      </c>
    </row>
    <row r="5551" spans="1:3" x14ac:dyDescent="0.25">
      <c r="A5551" t="str">
        <f>"0611862362050"</f>
        <v>0611862362050</v>
      </c>
      <c r="B5551" t="str">
        <f>"CE0707"</f>
        <v>CE0707</v>
      </c>
      <c r="C5551" t="s">
        <v>5439</v>
      </c>
    </row>
    <row r="5552" spans="1:3" x14ac:dyDescent="0.25">
      <c r="A5552" t="str">
        <f>"0611862363050"</f>
        <v>0611862363050</v>
      </c>
      <c r="B5552" t="str">
        <f>"CE0708"</f>
        <v>CE0708</v>
      </c>
      <c r="C5552" t="s">
        <v>5440</v>
      </c>
    </row>
    <row r="5553" spans="1:3" x14ac:dyDescent="0.25">
      <c r="A5553" t="str">
        <f>"0611862364050"</f>
        <v>0611862364050</v>
      </c>
      <c r="B5553" t="str">
        <f>"CE0709"</f>
        <v>CE0709</v>
      </c>
      <c r="C5553" t="s">
        <v>5441</v>
      </c>
    </row>
    <row r="5554" spans="1:3" x14ac:dyDescent="0.25">
      <c r="A5554" t="str">
        <f>"0611862365050"</f>
        <v>0611862365050</v>
      </c>
      <c r="B5554" t="str">
        <f>"CE1490"</f>
        <v>CE1490</v>
      </c>
      <c r="C5554" t="s">
        <v>5442</v>
      </c>
    </row>
    <row r="5555" spans="1:3" x14ac:dyDescent="0.25">
      <c r="A5555" t="str">
        <f>"0611837300100"</f>
        <v>0611837300100</v>
      </c>
      <c r="B5555" t="str">
        <f>"LS0036"</f>
        <v>LS0036</v>
      </c>
      <c r="C5555" t="s">
        <v>5444</v>
      </c>
    </row>
    <row r="5556" spans="1:3" x14ac:dyDescent="0.25">
      <c r="A5556" t="str">
        <f>"0611906770025"</f>
        <v>0611906770025</v>
      </c>
      <c r="B5556" t="str">
        <f>"MQ7125"</f>
        <v>MQ7125</v>
      </c>
      <c r="C5556" t="s">
        <v>5443</v>
      </c>
    </row>
    <row r="5557" spans="1:3" x14ac:dyDescent="0.25">
      <c r="A5557" t="str">
        <f>"0611837304100"</f>
        <v>0611837304100</v>
      </c>
      <c r="B5557" t="str">
        <f>"LS0037"</f>
        <v>LS0037</v>
      </c>
      <c r="C5557" t="s">
        <v>5493</v>
      </c>
    </row>
    <row r="5558" spans="1:3" x14ac:dyDescent="0.25">
      <c r="A5558" t="str">
        <f>"0611834596025"</f>
        <v>0611834596025</v>
      </c>
      <c r="B5558" t="str">
        <f>"MC0305"</f>
        <v>MC0305</v>
      </c>
      <c r="C5558" t="s">
        <v>5445</v>
      </c>
    </row>
    <row r="5559" spans="1:3" x14ac:dyDescent="0.25">
      <c r="A5559" t="str">
        <f>"0611862366050"</f>
        <v>0611862366050</v>
      </c>
      <c r="B5559" t="str">
        <f>"CR5187"</f>
        <v>CR5187</v>
      </c>
      <c r="C5559" t="s">
        <v>5446</v>
      </c>
    </row>
    <row r="5560" spans="1:3" x14ac:dyDescent="0.25">
      <c r="A5560" t="str">
        <f>"0611862367050"</f>
        <v>0611862367050</v>
      </c>
      <c r="B5560" t="str">
        <f>"CR5188"</f>
        <v>CR5188</v>
      </c>
      <c r="C5560" t="s">
        <v>5447</v>
      </c>
    </row>
    <row r="5561" spans="1:3" x14ac:dyDescent="0.25">
      <c r="A5561" t="str">
        <f>"0611862368050"</f>
        <v>0611862368050</v>
      </c>
      <c r="B5561" t="str">
        <f>"CR5071"</f>
        <v>CR5071</v>
      </c>
      <c r="C5561" t="s">
        <v>5448</v>
      </c>
    </row>
    <row r="5562" spans="1:3" x14ac:dyDescent="0.25">
      <c r="A5562" t="str">
        <f>"0611862369050"</f>
        <v>0611862369050</v>
      </c>
      <c r="B5562" t="str">
        <f>"CR5189"</f>
        <v>CR5189</v>
      </c>
      <c r="C5562" t="s">
        <v>5449</v>
      </c>
    </row>
    <row r="5563" spans="1:3" x14ac:dyDescent="0.25">
      <c r="A5563" t="str">
        <f>"0611862370050"</f>
        <v>0611862370050</v>
      </c>
      <c r="B5563" t="str">
        <f>"CR5072"</f>
        <v>CR5072</v>
      </c>
      <c r="C5563" t="s">
        <v>5450</v>
      </c>
    </row>
    <row r="5564" spans="1:3" x14ac:dyDescent="0.25">
      <c r="A5564" t="str">
        <f>"0611862371050"</f>
        <v>0611862371050</v>
      </c>
      <c r="B5564" t="str">
        <f>"CR5190"</f>
        <v>CR5190</v>
      </c>
      <c r="C5564" t="s">
        <v>5451</v>
      </c>
    </row>
    <row r="5565" spans="1:3" x14ac:dyDescent="0.25">
      <c r="A5565" t="str">
        <f>"0611862372050"</f>
        <v>0611862372050</v>
      </c>
      <c r="B5565" t="str">
        <f>"CR5191"</f>
        <v>CR5191</v>
      </c>
      <c r="C5565" t="s">
        <v>5452</v>
      </c>
    </row>
    <row r="5566" spans="1:3" x14ac:dyDescent="0.25">
      <c r="A5566" t="str">
        <f>"0611862373050"</f>
        <v>0611862373050</v>
      </c>
      <c r="B5566" t="str">
        <f>"CR2304"</f>
        <v>CR2304</v>
      </c>
      <c r="C5566" t="s">
        <v>5453</v>
      </c>
    </row>
    <row r="5567" spans="1:3" x14ac:dyDescent="0.25">
      <c r="A5567" t="str">
        <f>"0611862374050"</f>
        <v>0611862374050</v>
      </c>
      <c r="B5567" t="str">
        <f>"CR2305"</f>
        <v>CR2305</v>
      </c>
      <c r="C5567" t="s">
        <v>5454</v>
      </c>
    </row>
    <row r="5568" spans="1:3" x14ac:dyDescent="0.25">
      <c r="A5568" t="str">
        <f>"0611862375050"</f>
        <v>0611862375050</v>
      </c>
      <c r="B5568" t="str">
        <f>"CR2306"</f>
        <v>CR2306</v>
      </c>
      <c r="C5568" t="s">
        <v>5455</v>
      </c>
    </row>
    <row r="5569" spans="1:3" x14ac:dyDescent="0.25">
      <c r="A5569" t="str">
        <f>"0611862376050"</f>
        <v>0611862376050</v>
      </c>
      <c r="B5569" t="str">
        <f>"CR2641"</f>
        <v>CR2641</v>
      </c>
      <c r="C5569" t="s">
        <v>5456</v>
      </c>
    </row>
    <row r="5570" spans="1:3" x14ac:dyDescent="0.25">
      <c r="A5570" t="str">
        <f>"0611862377050"</f>
        <v>0611862377050</v>
      </c>
      <c r="B5570" t="str">
        <f>"CR2642"</f>
        <v>CR2642</v>
      </c>
      <c r="C5570" t="s">
        <v>5457</v>
      </c>
    </row>
    <row r="5571" spans="1:3" x14ac:dyDescent="0.25">
      <c r="A5571" t="str">
        <f>"0611862378050"</f>
        <v>0611862378050</v>
      </c>
      <c r="B5571" t="str">
        <f>"CR2307"</f>
        <v>CR2307</v>
      </c>
      <c r="C5571" t="s">
        <v>5458</v>
      </c>
    </row>
    <row r="5572" spans="1:3" x14ac:dyDescent="0.25">
      <c r="A5572" t="str">
        <f>"0611862379050"</f>
        <v>0611862379050</v>
      </c>
      <c r="B5572" t="str">
        <f>"CR5192"</f>
        <v>CR5192</v>
      </c>
      <c r="C5572" t="s">
        <v>5459</v>
      </c>
    </row>
    <row r="5573" spans="1:3" x14ac:dyDescent="0.25">
      <c r="A5573" t="str">
        <f>"0611862380050"</f>
        <v>0611862380050</v>
      </c>
      <c r="B5573" t="str">
        <f>"CR2308"</f>
        <v>CR2308</v>
      </c>
      <c r="C5573" t="s">
        <v>5460</v>
      </c>
    </row>
    <row r="5574" spans="1:3" x14ac:dyDescent="0.25">
      <c r="A5574" t="str">
        <f>"0611862381050"</f>
        <v>0611862381050</v>
      </c>
      <c r="B5574" t="str">
        <f>"CR4097"</f>
        <v>CR4097</v>
      </c>
      <c r="C5574" t="s">
        <v>5461</v>
      </c>
    </row>
    <row r="5575" spans="1:3" x14ac:dyDescent="0.25">
      <c r="A5575" t="str">
        <f>"0611862382050"</f>
        <v>0611862382050</v>
      </c>
      <c r="B5575" t="str">
        <f>"CR2309"</f>
        <v>CR2309</v>
      </c>
      <c r="C5575" t="s">
        <v>5462</v>
      </c>
    </row>
    <row r="5576" spans="1:3" x14ac:dyDescent="0.25">
      <c r="A5576" t="str">
        <f>"0611862383050"</f>
        <v>0611862383050</v>
      </c>
      <c r="B5576" t="str">
        <f>"CR2310"</f>
        <v>CR2310</v>
      </c>
      <c r="C5576" t="s">
        <v>5463</v>
      </c>
    </row>
    <row r="5577" spans="1:3" x14ac:dyDescent="0.25">
      <c r="A5577" t="str">
        <f>"0611862384050"</f>
        <v>0611862384050</v>
      </c>
      <c r="B5577" t="str">
        <f>"CR2311"</f>
        <v>CR2311</v>
      </c>
      <c r="C5577" t="s">
        <v>5464</v>
      </c>
    </row>
    <row r="5578" spans="1:3" x14ac:dyDescent="0.25">
      <c r="A5578" t="str">
        <f>"0611862385050"</f>
        <v>0611862385050</v>
      </c>
      <c r="B5578" t="str">
        <f>"CR2961"</f>
        <v>CR2961</v>
      </c>
      <c r="C5578" t="s">
        <v>5465</v>
      </c>
    </row>
    <row r="5579" spans="1:3" x14ac:dyDescent="0.25">
      <c r="A5579" t="str">
        <f>"0611862386050"</f>
        <v>0611862386050</v>
      </c>
      <c r="B5579" t="str">
        <f>"CR2312"</f>
        <v>CR2312</v>
      </c>
      <c r="C5579" t="s">
        <v>5466</v>
      </c>
    </row>
    <row r="5580" spans="1:3" x14ac:dyDescent="0.25">
      <c r="A5580" t="str">
        <f>"0611862387050"</f>
        <v>0611862387050</v>
      </c>
      <c r="B5580" t="str">
        <f>"CR2313"</f>
        <v>CR2313</v>
      </c>
      <c r="C5580" t="s">
        <v>5467</v>
      </c>
    </row>
    <row r="5581" spans="1:3" x14ac:dyDescent="0.25">
      <c r="A5581" t="str">
        <f>"0611862388050"</f>
        <v>0611862388050</v>
      </c>
      <c r="B5581" t="str">
        <f>"CR3467"</f>
        <v>CR3467</v>
      </c>
      <c r="C5581" t="s">
        <v>5468</v>
      </c>
    </row>
    <row r="5582" spans="1:3" x14ac:dyDescent="0.25">
      <c r="A5582" t="str">
        <f>"0611862389050"</f>
        <v>0611862389050</v>
      </c>
      <c r="B5582" t="str">
        <f>"CR2315"</f>
        <v>CR2315</v>
      </c>
      <c r="C5582" t="s">
        <v>5469</v>
      </c>
    </row>
    <row r="5583" spans="1:3" x14ac:dyDescent="0.25">
      <c r="A5583" t="str">
        <f>"0611862390050"</f>
        <v>0611862390050</v>
      </c>
      <c r="B5583" t="str">
        <f>"CR2314"</f>
        <v>CR2314</v>
      </c>
      <c r="C5583" t="s">
        <v>5470</v>
      </c>
    </row>
    <row r="5584" spans="1:3" x14ac:dyDescent="0.25">
      <c r="A5584" t="str">
        <f>"0611862391050"</f>
        <v>0611862391050</v>
      </c>
      <c r="B5584" t="str">
        <f>"CR2316"</f>
        <v>CR2316</v>
      </c>
      <c r="C5584" t="s">
        <v>5471</v>
      </c>
    </row>
    <row r="5585" spans="1:3" x14ac:dyDescent="0.25">
      <c r="A5585" t="str">
        <f>"0611884235050"</f>
        <v>0611884235050</v>
      </c>
      <c r="B5585" t="str">
        <f>"CR5409"</f>
        <v>CR5409</v>
      </c>
      <c r="C5585" t="s">
        <v>5472</v>
      </c>
    </row>
    <row r="5586" spans="1:3" x14ac:dyDescent="0.25">
      <c r="A5586" t="str">
        <f>"0611862392050"</f>
        <v>0611862392050</v>
      </c>
      <c r="B5586" t="str">
        <f>"CR3090"</f>
        <v>CR3090</v>
      </c>
      <c r="C5586" t="s">
        <v>5473</v>
      </c>
    </row>
    <row r="5587" spans="1:3" x14ac:dyDescent="0.25">
      <c r="A5587" t="str">
        <f>"0611862393050"</f>
        <v>0611862393050</v>
      </c>
      <c r="B5587" t="str">
        <f>"CR2318"</f>
        <v>CR2318</v>
      </c>
      <c r="C5587" t="s">
        <v>5474</v>
      </c>
    </row>
    <row r="5588" spans="1:3" x14ac:dyDescent="0.25">
      <c r="A5588" t="str">
        <f>"0611906573050"</f>
        <v>0611906573050</v>
      </c>
      <c r="B5588" t="str">
        <f>"CR5496"</f>
        <v>CR5496</v>
      </c>
      <c r="C5588" t="s">
        <v>5475</v>
      </c>
    </row>
    <row r="5589" spans="1:3" x14ac:dyDescent="0.25">
      <c r="A5589" t="str">
        <f>"0611862394050"</f>
        <v>0611862394050</v>
      </c>
      <c r="B5589" t="str">
        <f>"CR2319"</f>
        <v>CR2319</v>
      </c>
      <c r="C5589" t="s">
        <v>5476</v>
      </c>
    </row>
    <row r="5590" spans="1:3" x14ac:dyDescent="0.25">
      <c r="A5590" t="str">
        <f>"0611862395050"</f>
        <v>0611862395050</v>
      </c>
      <c r="B5590" t="str">
        <f>"CR2643"</f>
        <v>CR2643</v>
      </c>
      <c r="C5590" t="s">
        <v>5477</v>
      </c>
    </row>
    <row r="5591" spans="1:3" x14ac:dyDescent="0.25">
      <c r="A5591" t="str">
        <f>"0611862396050"</f>
        <v>0611862396050</v>
      </c>
      <c r="B5591" t="str">
        <f>"CR2320"</f>
        <v>CR2320</v>
      </c>
      <c r="C5591" t="s">
        <v>5478</v>
      </c>
    </row>
    <row r="5592" spans="1:3" x14ac:dyDescent="0.25">
      <c r="A5592" t="str">
        <f>"0611862397050"</f>
        <v>0611862397050</v>
      </c>
      <c r="B5592" t="str">
        <f>"CR2321"</f>
        <v>CR2321</v>
      </c>
      <c r="C5592" t="s">
        <v>5479</v>
      </c>
    </row>
    <row r="5593" spans="1:3" x14ac:dyDescent="0.25">
      <c r="A5593" t="str">
        <f>"0611862398050"</f>
        <v>0611862398050</v>
      </c>
      <c r="B5593" t="str">
        <f>"CR2322"</f>
        <v>CR2322</v>
      </c>
      <c r="C5593" t="s">
        <v>5480</v>
      </c>
    </row>
    <row r="5594" spans="1:3" x14ac:dyDescent="0.25">
      <c r="A5594" t="str">
        <f>"0611862399050"</f>
        <v>0611862399050</v>
      </c>
      <c r="B5594" t="str">
        <f>"CR2323"</f>
        <v>CR2323</v>
      </c>
      <c r="C5594" t="s">
        <v>5481</v>
      </c>
    </row>
    <row r="5595" spans="1:3" x14ac:dyDescent="0.25">
      <c r="A5595" t="str">
        <f>"0611862401050"</f>
        <v>0611862401050</v>
      </c>
      <c r="B5595" t="str">
        <f>"CR2324"</f>
        <v>CR2324</v>
      </c>
      <c r="C5595" t="s">
        <v>5482</v>
      </c>
    </row>
    <row r="5596" spans="1:3" x14ac:dyDescent="0.25">
      <c r="A5596" t="str">
        <f>"0611862400050"</f>
        <v>0611862400050</v>
      </c>
      <c r="B5596" t="str">
        <f>"CR3091"</f>
        <v>CR3091</v>
      </c>
      <c r="C5596" t="s">
        <v>5483</v>
      </c>
    </row>
    <row r="5597" spans="1:3" x14ac:dyDescent="0.25">
      <c r="A5597" t="str">
        <f>"0611837302100"</f>
        <v>0611837302100</v>
      </c>
      <c r="B5597" t="str">
        <f>"LS0038"</f>
        <v>LS0038</v>
      </c>
      <c r="C5597" t="s">
        <v>5484</v>
      </c>
    </row>
    <row r="5598" spans="1:3" x14ac:dyDescent="0.25">
      <c r="A5598" t="str">
        <f>"0611906771025"</f>
        <v>0611906771025</v>
      </c>
      <c r="B5598" t="str">
        <f>"MC4529"</f>
        <v>MC4529</v>
      </c>
      <c r="C5598" t="s">
        <v>5485</v>
      </c>
    </row>
    <row r="5599" spans="1:3" x14ac:dyDescent="0.25">
      <c r="A5599" t="str">
        <f>"0611906772025"</f>
        <v>0611906772025</v>
      </c>
      <c r="B5599" t="str">
        <f>"MC4533"</f>
        <v>MC4533</v>
      </c>
      <c r="C5599" t="s">
        <v>5486</v>
      </c>
    </row>
    <row r="5600" spans="1:3" x14ac:dyDescent="0.25">
      <c r="A5600" t="str">
        <f>"0611906773025"</f>
        <v>0611906773025</v>
      </c>
      <c r="B5600" t="str">
        <f>"MC4532"</f>
        <v>MC4532</v>
      </c>
      <c r="C5600" t="s">
        <v>5487</v>
      </c>
    </row>
    <row r="5601" spans="1:3" x14ac:dyDescent="0.25">
      <c r="A5601" t="str">
        <f>"0611837301100"</f>
        <v>0611837301100</v>
      </c>
      <c r="B5601" t="str">
        <f>"LC6660"</f>
        <v>LC6660</v>
      </c>
      <c r="C5601" t="s">
        <v>5488</v>
      </c>
    </row>
    <row r="5602" spans="1:3" x14ac:dyDescent="0.25">
      <c r="A5602" t="str">
        <f>"0611906774025"</f>
        <v>0611906774025</v>
      </c>
      <c r="B5602" t="str">
        <f>"MC4534"</f>
        <v>MC4534</v>
      </c>
      <c r="C5602" t="s">
        <v>5489</v>
      </c>
    </row>
    <row r="5603" spans="1:3" x14ac:dyDescent="0.25">
      <c r="A5603" t="str">
        <f>"0611906775025"</f>
        <v>0611906775025</v>
      </c>
      <c r="B5603" t="str">
        <f>"MC4531"</f>
        <v>MC4531</v>
      </c>
      <c r="C5603" t="s">
        <v>5490</v>
      </c>
    </row>
    <row r="5604" spans="1:3" x14ac:dyDescent="0.25">
      <c r="A5604" t="str">
        <f>"0611906776025"</f>
        <v>0611906776025</v>
      </c>
      <c r="B5604" t="str">
        <f>"MC4530"</f>
        <v>MC4530</v>
      </c>
      <c r="C5604" t="s">
        <v>5491</v>
      </c>
    </row>
    <row r="5605" spans="1:3" x14ac:dyDescent="0.25">
      <c r="A5605" t="str">
        <f>"0611837303100"</f>
        <v>0611837303100</v>
      </c>
      <c r="B5605" t="str">
        <f>"LK5461"</f>
        <v>LK5461</v>
      </c>
      <c r="C5605" t="s">
        <v>5492</v>
      </c>
    </row>
    <row r="5606" spans="1:3" x14ac:dyDescent="0.25">
      <c r="A5606" t="str">
        <f>"0611862402050"</f>
        <v>0611862402050</v>
      </c>
      <c r="B5606" t="str">
        <f>"CE1613"</f>
        <v>CE1613</v>
      </c>
      <c r="C5606" t="s">
        <v>5494</v>
      </c>
    </row>
    <row r="5607" spans="1:3" x14ac:dyDescent="0.25">
      <c r="A5607" t="str">
        <f>"0611862403050"</f>
        <v>0611862403050</v>
      </c>
      <c r="B5607" t="str">
        <f>"CR2325"</f>
        <v>CR2325</v>
      </c>
      <c r="C5607" t="s">
        <v>5495</v>
      </c>
    </row>
    <row r="5608" spans="1:3" x14ac:dyDescent="0.25">
      <c r="A5608" t="str">
        <f>"0611862404050"</f>
        <v>0611862404050</v>
      </c>
      <c r="B5608" t="str">
        <f>"CR2853"</f>
        <v>CR2853</v>
      </c>
      <c r="C5608" t="s">
        <v>5496</v>
      </c>
    </row>
    <row r="5609" spans="1:3" x14ac:dyDescent="0.25">
      <c r="A5609" t="str">
        <f>"0611862405050"</f>
        <v>0611862405050</v>
      </c>
      <c r="B5609" t="str">
        <f>"CR2326"</f>
        <v>CR2326</v>
      </c>
      <c r="C5609" t="s">
        <v>5497</v>
      </c>
    </row>
    <row r="5610" spans="1:3" x14ac:dyDescent="0.25">
      <c r="A5610" t="str">
        <f>"0611862406050"</f>
        <v>0611862406050</v>
      </c>
      <c r="B5610" t="str">
        <f>"CR2856"</f>
        <v>CR2856</v>
      </c>
      <c r="C5610" t="s">
        <v>5498</v>
      </c>
    </row>
    <row r="5611" spans="1:3" x14ac:dyDescent="0.25">
      <c r="A5611" t="str">
        <f>"0611862407050"</f>
        <v>0611862407050</v>
      </c>
      <c r="B5611" t="str">
        <f>"CR2858"</f>
        <v>CR2858</v>
      </c>
      <c r="C5611" t="s">
        <v>5499</v>
      </c>
    </row>
    <row r="5612" spans="1:3" x14ac:dyDescent="0.25">
      <c r="A5612" t="str">
        <f>"0611862408050"</f>
        <v>0611862408050</v>
      </c>
      <c r="B5612" t="str">
        <f>"CR2859"</f>
        <v>CR2859</v>
      </c>
      <c r="C5612" t="s">
        <v>5500</v>
      </c>
    </row>
    <row r="5613" spans="1:3" x14ac:dyDescent="0.25">
      <c r="A5613" t="str">
        <f>"0611862409050"</f>
        <v>0611862409050</v>
      </c>
      <c r="B5613" t="str">
        <f>"CR2327"</f>
        <v>CR2327</v>
      </c>
      <c r="C5613" t="s">
        <v>5501</v>
      </c>
    </row>
    <row r="5614" spans="1:3" x14ac:dyDescent="0.25">
      <c r="A5614" t="str">
        <f>"0611862410050"</f>
        <v>0611862410050</v>
      </c>
      <c r="B5614" t="str">
        <f>"CR2328"</f>
        <v>CR2328</v>
      </c>
      <c r="C5614" t="s">
        <v>5502</v>
      </c>
    </row>
    <row r="5615" spans="1:3" x14ac:dyDescent="0.25">
      <c r="A5615" t="str">
        <f>"0611862411050"</f>
        <v>0611862411050</v>
      </c>
      <c r="B5615" t="str">
        <f>"CR2329"</f>
        <v>CR2329</v>
      </c>
      <c r="C5615" t="s">
        <v>5503</v>
      </c>
    </row>
    <row r="5616" spans="1:3" x14ac:dyDescent="0.25">
      <c r="A5616" t="str">
        <f>"0611862412050"</f>
        <v>0611862412050</v>
      </c>
      <c r="B5616" t="str">
        <f>"CR3092"</f>
        <v>CR3092</v>
      </c>
      <c r="C5616" t="s">
        <v>13858</v>
      </c>
    </row>
    <row r="5617" spans="1:3" x14ac:dyDescent="0.25">
      <c r="A5617" t="str">
        <f>"0611862413050"</f>
        <v>0611862413050</v>
      </c>
      <c r="B5617" t="str">
        <f>"CR2330"</f>
        <v>CR2330</v>
      </c>
      <c r="C5617" t="s">
        <v>5504</v>
      </c>
    </row>
    <row r="5618" spans="1:3" x14ac:dyDescent="0.25">
      <c r="A5618" t="str">
        <f>"0611862414050"</f>
        <v>0611862414050</v>
      </c>
      <c r="B5618" t="str">
        <f>"CR2331"</f>
        <v>CR2331</v>
      </c>
      <c r="C5618" t="s">
        <v>5505</v>
      </c>
    </row>
    <row r="5619" spans="1:3" x14ac:dyDescent="0.25">
      <c r="A5619" t="str">
        <f>"0611862415050"</f>
        <v>0611862415050</v>
      </c>
      <c r="B5619" t="str">
        <f>"CR2332"</f>
        <v>CR2332</v>
      </c>
      <c r="C5619" t="s">
        <v>5506</v>
      </c>
    </row>
    <row r="5620" spans="1:3" x14ac:dyDescent="0.25">
      <c r="A5620" t="str">
        <f>"0611862416050"</f>
        <v>0611862416050</v>
      </c>
      <c r="B5620" t="str">
        <f>"CR2333"</f>
        <v>CR2333</v>
      </c>
      <c r="C5620" t="s">
        <v>5507</v>
      </c>
    </row>
    <row r="5621" spans="1:3" x14ac:dyDescent="0.25">
      <c r="A5621" t="str">
        <f>"0611862417050"</f>
        <v>0611862417050</v>
      </c>
      <c r="B5621" t="str">
        <f>"CR2334"</f>
        <v>CR2334</v>
      </c>
      <c r="C5621" t="s">
        <v>5508</v>
      </c>
    </row>
    <row r="5622" spans="1:3" x14ac:dyDescent="0.25">
      <c r="A5622" t="str">
        <f>"0611862418050"</f>
        <v>0611862418050</v>
      </c>
      <c r="B5622" t="str">
        <f>"CR2336"</f>
        <v>CR2336</v>
      </c>
      <c r="C5622" t="s">
        <v>5509</v>
      </c>
    </row>
    <row r="5623" spans="1:3" x14ac:dyDescent="0.25">
      <c r="A5623" t="str">
        <f>"0611862419050"</f>
        <v>0611862419050</v>
      </c>
      <c r="B5623" t="str">
        <f>"CR4987"</f>
        <v>CR4987</v>
      </c>
      <c r="C5623" t="s">
        <v>5510</v>
      </c>
    </row>
    <row r="5624" spans="1:3" x14ac:dyDescent="0.25">
      <c r="A5624" t="str">
        <f>"0611862420050"</f>
        <v>0611862420050</v>
      </c>
      <c r="B5624" t="str">
        <f>"CR5249"</f>
        <v>CR5249</v>
      </c>
      <c r="C5624" t="s">
        <v>5511</v>
      </c>
    </row>
    <row r="5625" spans="1:3" x14ac:dyDescent="0.25">
      <c r="A5625" t="str">
        <f>"0611862421050"</f>
        <v>0611862421050</v>
      </c>
      <c r="B5625" t="str">
        <f>"CR2337"</f>
        <v>CR2337</v>
      </c>
      <c r="C5625" t="s">
        <v>5512</v>
      </c>
    </row>
    <row r="5626" spans="1:3" x14ac:dyDescent="0.25">
      <c r="A5626" t="str">
        <f>"0611862422050"</f>
        <v>0611862422050</v>
      </c>
      <c r="B5626" t="str">
        <f>"CR2340"</f>
        <v>CR2340</v>
      </c>
      <c r="C5626" t="s">
        <v>5513</v>
      </c>
    </row>
    <row r="5627" spans="1:3" x14ac:dyDescent="0.25">
      <c r="A5627" t="str">
        <f>"0611862423050"</f>
        <v>0611862423050</v>
      </c>
      <c r="B5627" t="str">
        <f>"CR4120"</f>
        <v>CR4120</v>
      </c>
      <c r="C5627" t="s">
        <v>5514</v>
      </c>
    </row>
    <row r="5628" spans="1:3" x14ac:dyDescent="0.25">
      <c r="A5628" t="str">
        <f>"0611862425050"</f>
        <v>0611862425050</v>
      </c>
      <c r="B5628" t="str">
        <f>"CR2339"</f>
        <v>CR2339</v>
      </c>
      <c r="C5628" t="s">
        <v>5515</v>
      </c>
    </row>
    <row r="5629" spans="1:3" x14ac:dyDescent="0.25">
      <c r="A5629" t="str">
        <f>"0611862424050"</f>
        <v>0611862424050</v>
      </c>
      <c r="B5629" t="str">
        <f>"CR2338"</f>
        <v>CR2338</v>
      </c>
      <c r="C5629" t="s">
        <v>5516</v>
      </c>
    </row>
    <row r="5630" spans="1:3" x14ac:dyDescent="0.25">
      <c r="A5630" t="str">
        <f>"0611862427050"</f>
        <v>0611862427050</v>
      </c>
      <c r="B5630" t="str">
        <f>"CR2343"</f>
        <v>CR2343</v>
      </c>
      <c r="C5630" t="s">
        <v>5517</v>
      </c>
    </row>
    <row r="5631" spans="1:3" x14ac:dyDescent="0.25">
      <c r="A5631" t="str">
        <f>"0611862426050"</f>
        <v>0611862426050</v>
      </c>
      <c r="B5631" t="str">
        <f>"CR2342"</f>
        <v>CR2342</v>
      </c>
      <c r="C5631" t="s">
        <v>5518</v>
      </c>
    </row>
    <row r="5632" spans="1:3" x14ac:dyDescent="0.25">
      <c r="A5632" t="str">
        <f>"0611862428050"</f>
        <v>0611862428050</v>
      </c>
      <c r="B5632" t="str">
        <f>"CR2344"</f>
        <v>CR2344</v>
      </c>
      <c r="C5632" t="s">
        <v>5519</v>
      </c>
    </row>
    <row r="5633" spans="1:3" x14ac:dyDescent="0.25">
      <c r="A5633" t="str">
        <f>"0611862429050"</f>
        <v>0611862429050</v>
      </c>
      <c r="B5633" t="str">
        <f>"CR4988"</f>
        <v>CR4988</v>
      </c>
      <c r="C5633" t="s">
        <v>5520</v>
      </c>
    </row>
    <row r="5634" spans="1:3" x14ac:dyDescent="0.25">
      <c r="A5634" t="str">
        <f>"0611862430050"</f>
        <v>0611862430050</v>
      </c>
      <c r="B5634" t="str">
        <f>"CR2345"</f>
        <v>CR2345</v>
      </c>
      <c r="C5634" t="s">
        <v>5521</v>
      </c>
    </row>
    <row r="5635" spans="1:3" x14ac:dyDescent="0.25">
      <c r="A5635" t="str">
        <f>"0611837305100"</f>
        <v>0611837305100</v>
      </c>
      <c r="B5635" t="str">
        <f>"LC9616"</f>
        <v>LC9616</v>
      </c>
      <c r="C5635" t="s">
        <v>5522</v>
      </c>
    </row>
    <row r="5636" spans="1:3" x14ac:dyDescent="0.25">
      <c r="A5636" t="str">
        <f>"0611862432050"</f>
        <v>0611862432050</v>
      </c>
      <c r="B5636" t="str">
        <f>"CE0711"</f>
        <v>CE0711</v>
      </c>
      <c r="C5636" t="s">
        <v>5523</v>
      </c>
    </row>
    <row r="5637" spans="1:3" x14ac:dyDescent="0.25">
      <c r="A5637" t="str">
        <f>"0611862433050"</f>
        <v>0611862433050</v>
      </c>
      <c r="B5637" t="str">
        <f>"CE0712"</f>
        <v>CE0712</v>
      </c>
      <c r="C5637" t="s">
        <v>5524</v>
      </c>
    </row>
    <row r="5638" spans="1:3" x14ac:dyDescent="0.25">
      <c r="A5638" t="str">
        <f>"0611862434050"</f>
        <v>0611862434050</v>
      </c>
      <c r="B5638" t="str">
        <f>"CE0713"</f>
        <v>CE0713</v>
      </c>
      <c r="C5638" t="s">
        <v>5525</v>
      </c>
    </row>
    <row r="5639" spans="1:3" x14ac:dyDescent="0.25">
      <c r="A5639" t="str">
        <f>"0611862435050"</f>
        <v>0611862435050</v>
      </c>
      <c r="B5639" t="str">
        <f>"CE1215"</f>
        <v>CE1215</v>
      </c>
      <c r="C5639" t="s">
        <v>5526</v>
      </c>
    </row>
    <row r="5640" spans="1:3" x14ac:dyDescent="0.25">
      <c r="A5640" t="str">
        <f>"0611862436050"</f>
        <v>0611862436050</v>
      </c>
      <c r="B5640" t="str">
        <f>"CE0714"</f>
        <v>CE0714</v>
      </c>
      <c r="C5640" t="s">
        <v>5527</v>
      </c>
    </row>
    <row r="5641" spans="1:3" x14ac:dyDescent="0.25">
      <c r="A5641" t="str">
        <f>"0611862437050"</f>
        <v>0611862437050</v>
      </c>
      <c r="B5641" t="str">
        <f>"CE0715"</f>
        <v>CE0715</v>
      </c>
      <c r="C5641" t="s">
        <v>5528</v>
      </c>
    </row>
    <row r="5642" spans="1:3" x14ac:dyDescent="0.25">
      <c r="A5642" t="str">
        <f>"0611862439050"</f>
        <v>0611862439050</v>
      </c>
      <c r="B5642" t="str">
        <f>"CE0717"</f>
        <v>CE0717</v>
      </c>
      <c r="C5642" t="s">
        <v>5529</v>
      </c>
    </row>
    <row r="5643" spans="1:3" x14ac:dyDescent="0.25">
      <c r="A5643" t="str">
        <f>"0611862440050"</f>
        <v>0611862440050</v>
      </c>
      <c r="B5643" t="str">
        <f>"CE0718"</f>
        <v>CE0718</v>
      </c>
      <c r="C5643" t="s">
        <v>5530</v>
      </c>
    </row>
    <row r="5644" spans="1:3" x14ac:dyDescent="0.25">
      <c r="A5644" t="str">
        <f>"0611862442050"</f>
        <v>0611862442050</v>
      </c>
      <c r="B5644" t="str">
        <f>"CE1346"</f>
        <v>CE1346</v>
      </c>
      <c r="C5644" t="s">
        <v>5531</v>
      </c>
    </row>
    <row r="5645" spans="1:3" x14ac:dyDescent="0.25">
      <c r="A5645" t="str">
        <f>"0611862443050"</f>
        <v>0611862443050</v>
      </c>
      <c r="B5645" t="str">
        <f>"CE0720"</f>
        <v>CE0720</v>
      </c>
      <c r="C5645" t="s">
        <v>5532</v>
      </c>
    </row>
    <row r="5646" spans="1:3" x14ac:dyDescent="0.25">
      <c r="A5646" t="str">
        <f>"0611862444050"</f>
        <v>0611862444050</v>
      </c>
      <c r="B5646" t="str">
        <f>"CE0721"</f>
        <v>CE0721</v>
      </c>
      <c r="C5646" t="s">
        <v>5533</v>
      </c>
    </row>
    <row r="5647" spans="1:3" x14ac:dyDescent="0.25">
      <c r="A5647" t="str">
        <f>"0611862445050"</f>
        <v>0611862445050</v>
      </c>
      <c r="B5647" t="str">
        <f>"CE1347"</f>
        <v>CE1347</v>
      </c>
      <c r="C5647" t="s">
        <v>5534</v>
      </c>
    </row>
    <row r="5648" spans="1:3" x14ac:dyDescent="0.25">
      <c r="A5648" t="str">
        <f>"0611862447050"</f>
        <v>0611862447050</v>
      </c>
      <c r="B5648" t="str">
        <f>"CE0723"</f>
        <v>CE0723</v>
      </c>
      <c r="C5648" t="s">
        <v>5535</v>
      </c>
    </row>
    <row r="5649" spans="1:3" x14ac:dyDescent="0.25">
      <c r="A5649" t="str">
        <f>"0611862448050"</f>
        <v>0611862448050</v>
      </c>
      <c r="B5649" t="str">
        <f>"CE0724"</f>
        <v>CE0724</v>
      </c>
      <c r="C5649" t="s">
        <v>5536</v>
      </c>
    </row>
    <row r="5650" spans="1:3" x14ac:dyDescent="0.25">
      <c r="A5650" t="str">
        <f>"0611862449050"</f>
        <v>0611862449050</v>
      </c>
      <c r="B5650" t="str">
        <f>"CE0725"</f>
        <v>CE0725</v>
      </c>
      <c r="C5650" t="s">
        <v>5537</v>
      </c>
    </row>
    <row r="5651" spans="1:3" x14ac:dyDescent="0.25">
      <c r="A5651" t="str">
        <f>"0611862450050"</f>
        <v>0611862450050</v>
      </c>
      <c r="B5651" t="str">
        <f>"CE1216"</f>
        <v>CE1216</v>
      </c>
      <c r="C5651" t="s">
        <v>5538</v>
      </c>
    </row>
    <row r="5652" spans="1:3" x14ac:dyDescent="0.25">
      <c r="A5652" t="str">
        <f>"0611862451050"</f>
        <v>0611862451050</v>
      </c>
      <c r="B5652" t="str">
        <f>"CE0660"</f>
        <v>CE0660</v>
      </c>
      <c r="C5652" t="s">
        <v>13859</v>
      </c>
    </row>
    <row r="5653" spans="1:3" x14ac:dyDescent="0.25">
      <c r="A5653" t="str">
        <f>"0611862452050"</f>
        <v>0611862452050</v>
      </c>
      <c r="B5653" t="str">
        <f>"CE0661"</f>
        <v>CE0661</v>
      </c>
      <c r="C5653" t="s">
        <v>13860</v>
      </c>
    </row>
    <row r="5654" spans="1:3" x14ac:dyDescent="0.25">
      <c r="A5654" t="str">
        <f>"0611862453050"</f>
        <v>0611862453050</v>
      </c>
      <c r="B5654" t="str">
        <f>"CE1116"</f>
        <v>CE1116</v>
      </c>
      <c r="C5654" t="s">
        <v>13861</v>
      </c>
    </row>
    <row r="5655" spans="1:3" x14ac:dyDescent="0.25">
      <c r="A5655" t="str">
        <f>"0611862454050"</f>
        <v>0611862454050</v>
      </c>
      <c r="B5655" t="str">
        <f>"CE0662"</f>
        <v>CE0662</v>
      </c>
      <c r="C5655" t="s">
        <v>13862</v>
      </c>
    </row>
    <row r="5656" spans="1:3" x14ac:dyDescent="0.25">
      <c r="A5656" t="str">
        <f>"0611862455050"</f>
        <v>0611862455050</v>
      </c>
      <c r="B5656" t="str">
        <f>"CE0663"</f>
        <v>CE0663</v>
      </c>
      <c r="C5656" t="s">
        <v>13863</v>
      </c>
    </row>
    <row r="5657" spans="1:3" x14ac:dyDescent="0.25">
      <c r="A5657" t="str">
        <f>"0611862456050"</f>
        <v>0611862456050</v>
      </c>
      <c r="B5657" t="str">
        <f>"CE0664"</f>
        <v>CE0664</v>
      </c>
      <c r="C5657" t="s">
        <v>13864</v>
      </c>
    </row>
    <row r="5658" spans="1:3" x14ac:dyDescent="0.25">
      <c r="A5658" t="str">
        <f>"0611862457050"</f>
        <v>0611862457050</v>
      </c>
      <c r="B5658" t="str">
        <f>"CE0665"</f>
        <v>CE0665</v>
      </c>
      <c r="C5658" t="s">
        <v>13865</v>
      </c>
    </row>
    <row r="5659" spans="1:3" x14ac:dyDescent="0.25">
      <c r="A5659" t="str">
        <f>"0611862458050"</f>
        <v>0611862458050</v>
      </c>
      <c r="B5659" t="str">
        <f>"CE0666"</f>
        <v>CE0666</v>
      </c>
      <c r="C5659" t="s">
        <v>13866</v>
      </c>
    </row>
    <row r="5660" spans="1:3" x14ac:dyDescent="0.25">
      <c r="A5660" t="str">
        <f>"0611884236100"</f>
        <v>0611884236100</v>
      </c>
      <c r="B5660" t="str">
        <f>"LB2994"</f>
        <v>LB2994</v>
      </c>
      <c r="C5660" t="s">
        <v>5539</v>
      </c>
    </row>
    <row r="5661" spans="1:3" x14ac:dyDescent="0.25">
      <c r="A5661" t="str">
        <f>"0611837308100"</f>
        <v>0611837308100</v>
      </c>
      <c r="B5661" t="str">
        <f>"LQ3755"</f>
        <v>LQ3755</v>
      </c>
      <c r="C5661" t="s">
        <v>5540</v>
      </c>
    </row>
    <row r="5662" spans="1:3" x14ac:dyDescent="0.25">
      <c r="A5662" t="str">
        <f>"0611837309100"</f>
        <v>0611837309100</v>
      </c>
      <c r="B5662" t="str">
        <f>"LK4776"</f>
        <v>LK4776</v>
      </c>
      <c r="C5662" t="s">
        <v>5541</v>
      </c>
    </row>
    <row r="5663" spans="1:3" x14ac:dyDescent="0.25">
      <c r="A5663" t="str">
        <f>"0611862459050"</f>
        <v>0611862459050</v>
      </c>
      <c r="B5663" t="str">
        <f>"CR3535"</f>
        <v>CR3535</v>
      </c>
      <c r="C5663" t="s">
        <v>5542</v>
      </c>
    </row>
    <row r="5664" spans="1:3" x14ac:dyDescent="0.25">
      <c r="A5664" t="str">
        <f>"0611837310100"</f>
        <v>0611837310100</v>
      </c>
      <c r="B5664" t="str">
        <f>"LB2942"</f>
        <v>LB2942</v>
      </c>
      <c r="C5664" t="s">
        <v>5543</v>
      </c>
    </row>
    <row r="5665" spans="1:3" x14ac:dyDescent="0.25">
      <c r="A5665" t="str">
        <f>"0611837311100"</f>
        <v>0611837311100</v>
      </c>
      <c r="B5665" t="str">
        <f>"LB3036"</f>
        <v>LB3036</v>
      </c>
      <c r="C5665" t="s">
        <v>5544</v>
      </c>
    </row>
    <row r="5666" spans="1:3" x14ac:dyDescent="0.25">
      <c r="A5666" t="str">
        <f>"0611837312025"</f>
        <v>0611837312025</v>
      </c>
      <c r="B5666" t="str">
        <f>"MC1429"</f>
        <v>MC1429</v>
      </c>
      <c r="C5666" t="s">
        <v>5545</v>
      </c>
    </row>
    <row r="5667" spans="1:3" x14ac:dyDescent="0.25">
      <c r="A5667" t="str">
        <f>"0611862460050"</f>
        <v>0611862460050</v>
      </c>
      <c r="B5667" t="str">
        <f>"CR3087"</f>
        <v>CR3087</v>
      </c>
      <c r="C5667" t="s">
        <v>5546</v>
      </c>
    </row>
    <row r="5668" spans="1:3" x14ac:dyDescent="0.25">
      <c r="A5668" t="str">
        <f>"0611862461050"</f>
        <v>0611862461050</v>
      </c>
      <c r="B5668" t="str">
        <f>"CR3089"</f>
        <v>CR3089</v>
      </c>
      <c r="C5668" t="s">
        <v>5547</v>
      </c>
    </row>
    <row r="5669" spans="1:3" x14ac:dyDescent="0.25">
      <c r="A5669" t="str">
        <f>"0611837313100"</f>
        <v>0611837313100</v>
      </c>
      <c r="B5669" t="str">
        <f>"LS0039"</f>
        <v>LS0039</v>
      </c>
      <c r="C5669" t="s">
        <v>5549</v>
      </c>
    </row>
    <row r="5670" spans="1:3" x14ac:dyDescent="0.25">
      <c r="A5670" t="str">
        <f>"0611834597025"</f>
        <v>0611834597025</v>
      </c>
      <c r="B5670" t="str">
        <f>"MC3887"</f>
        <v>MC3887</v>
      </c>
      <c r="C5670" t="s">
        <v>5548</v>
      </c>
    </row>
    <row r="5671" spans="1:3" x14ac:dyDescent="0.25">
      <c r="A5671" t="str">
        <f>"0611837314100"</f>
        <v>0611837314100</v>
      </c>
      <c r="B5671" t="str">
        <f>"LS0040"</f>
        <v>LS0040</v>
      </c>
      <c r="C5671" t="s">
        <v>5550</v>
      </c>
    </row>
    <row r="5672" spans="1:3" x14ac:dyDescent="0.25">
      <c r="A5672" t="str">
        <f>"0611837316100"</f>
        <v>0611837316100</v>
      </c>
      <c r="B5672" t="str">
        <f>"LB3039"</f>
        <v>LB3039</v>
      </c>
      <c r="C5672" t="s">
        <v>5551</v>
      </c>
    </row>
    <row r="5673" spans="1:3" x14ac:dyDescent="0.25">
      <c r="A5673" t="str">
        <f>"0611862462050"</f>
        <v>0611862462050</v>
      </c>
      <c r="B5673" t="str">
        <f>"CE0778"</f>
        <v>CE0778</v>
      </c>
      <c r="C5673" t="s">
        <v>5552</v>
      </c>
    </row>
    <row r="5674" spans="1:3" x14ac:dyDescent="0.25">
      <c r="A5674" t="str">
        <f>"0611837317100"</f>
        <v>0611837317100</v>
      </c>
      <c r="B5674" t="str">
        <f>"LQ3805"</f>
        <v>LQ3805</v>
      </c>
      <c r="C5674" t="s">
        <v>5553</v>
      </c>
    </row>
    <row r="5675" spans="1:3" x14ac:dyDescent="0.25">
      <c r="A5675" t="str">
        <f>"0611837318100"</f>
        <v>0611837318100</v>
      </c>
      <c r="B5675" t="str">
        <f>"MB0011"</f>
        <v>MB0011</v>
      </c>
      <c r="C5675" t="s">
        <v>5554</v>
      </c>
    </row>
    <row r="5676" spans="1:3" x14ac:dyDescent="0.25">
      <c r="A5676" t="str">
        <f>"0611906574050"</f>
        <v>0611906574050</v>
      </c>
      <c r="B5676" t="str">
        <f>"CR5501"</f>
        <v>CR5501</v>
      </c>
      <c r="C5676" t="s">
        <v>5555</v>
      </c>
    </row>
    <row r="5677" spans="1:3" x14ac:dyDescent="0.25">
      <c r="A5677" t="str">
        <f>"0611834598100"</f>
        <v>0611834598100</v>
      </c>
      <c r="B5677" t="str">
        <f>"LK5758"</f>
        <v>LK5758</v>
      </c>
      <c r="C5677" t="s">
        <v>5556</v>
      </c>
    </row>
    <row r="5678" spans="1:3" x14ac:dyDescent="0.25">
      <c r="A5678" t="str">
        <f>"0611834600100"</f>
        <v>0611834600100</v>
      </c>
      <c r="B5678" t="str">
        <f>"LK5760"</f>
        <v>LK5760</v>
      </c>
      <c r="C5678" t="s">
        <v>5557</v>
      </c>
    </row>
    <row r="5679" spans="1:3" x14ac:dyDescent="0.25">
      <c r="A5679" t="str">
        <f>"0611834601100"</f>
        <v>0611834601100</v>
      </c>
      <c r="B5679" t="str">
        <f>"LK5761"</f>
        <v>LK5761</v>
      </c>
      <c r="C5679" t="s">
        <v>5558</v>
      </c>
    </row>
    <row r="5680" spans="1:3" x14ac:dyDescent="0.25">
      <c r="A5680" t="str">
        <f>"0611834602100"</f>
        <v>0611834602100</v>
      </c>
      <c r="B5680" t="str">
        <f>"LK5762"</f>
        <v>LK5762</v>
      </c>
      <c r="C5680" t="s">
        <v>5559</v>
      </c>
    </row>
    <row r="5681" spans="1:3" x14ac:dyDescent="0.25">
      <c r="A5681" t="str">
        <f>"0611834604100"</f>
        <v>0611834604100</v>
      </c>
      <c r="B5681" t="str">
        <f>"LK6642"</f>
        <v>LK6642</v>
      </c>
      <c r="C5681" t="s">
        <v>5560</v>
      </c>
    </row>
    <row r="5682" spans="1:3" x14ac:dyDescent="0.25">
      <c r="A5682" t="str">
        <f>"0611834605100"</f>
        <v>0611834605100</v>
      </c>
      <c r="B5682" t="str">
        <f>"LK5764"</f>
        <v>LK5764</v>
      </c>
      <c r="C5682" t="s">
        <v>5561</v>
      </c>
    </row>
    <row r="5683" spans="1:3" x14ac:dyDescent="0.25">
      <c r="A5683" t="str">
        <f>"0611834649100"</f>
        <v>0611834649100</v>
      </c>
      <c r="B5683" t="str">
        <f>"LS0041"</f>
        <v>LS0041</v>
      </c>
      <c r="C5683" t="s">
        <v>5602</v>
      </c>
    </row>
    <row r="5684" spans="1:3" x14ac:dyDescent="0.25">
      <c r="A5684" t="str">
        <f>"0611834606100"</f>
        <v>0611834606100</v>
      </c>
      <c r="B5684" t="str">
        <f>"LK4999"</f>
        <v>LK4999</v>
      </c>
      <c r="C5684" t="s">
        <v>5562</v>
      </c>
    </row>
    <row r="5685" spans="1:3" x14ac:dyDescent="0.25">
      <c r="A5685" t="str">
        <f>"0611834607100"</f>
        <v>0611834607100</v>
      </c>
      <c r="B5685" t="str">
        <f>"LK5000"</f>
        <v>LK5000</v>
      </c>
      <c r="C5685" t="s">
        <v>5563</v>
      </c>
    </row>
    <row r="5686" spans="1:3" x14ac:dyDescent="0.25">
      <c r="A5686" t="str">
        <f>"0611834609100"</f>
        <v>0611834609100</v>
      </c>
      <c r="B5686" t="str">
        <f>"LK5466"</f>
        <v>LK5466</v>
      </c>
      <c r="C5686" t="s">
        <v>5564</v>
      </c>
    </row>
    <row r="5687" spans="1:3" x14ac:dyDescent="0.25">
      <c r="A5687" t="str">
        <f>"0611834610100"</f>
        <v>0611834610100</v>
      </c>
      <c r="B5687" t="str">
        <f>"LK6964"</f>
        <v>LK6964</v>
      </c>
      <c r="C5687" t="s">
        <v>5565</v>
      </c>
    </row>
    <row r="5688" spans="1:3" x14ac:dyDescent="0.25">
      <c r="A5688" t="str">
        <f>"0611834611100"</f>
        <v>0611834611100</v>
      </c>
      <c r="B5688" t="str">
        <f>"LK6702"</f>
        <v>LK6702</v>
      </c>
      <c r="C5688" t="s">
        <v>5566</v>
      </c>
    </row>
    <row r="5689" spans="1:3" x14ac:dyDescent="0.25">
      <c r="A5689" t="str">
        <f>"0611834612100"</f>
        <v>0611834612100</v>
      </c>
      <c r="B5689" t="str">
        <f>"LK6965"</f>
        <v>LK6965</v>
      </c>
      <c r="C5689" t="s">
        <v>5567</v>
      </c>
    </row>
    <row r="5690" spans="1:3" x14ac:dyDescent="0.25">
      <c r="A5690" t="str">
        <f>"0611834613100"</f>
        <v>0611834613100</v>
      </c>
      <c r="B5690" t="str">
        <f>"LK6703"</f>
        <v>LK6703</v>
      </c>
      <c r="C5690" t="s">
        <v>5568</v>
      </c>
    </row>
    <row r="5691" spans="1:3" x14ac:dyDescent="0.25">
      <c r="A5691" t="str">
        <f>"0611834614100"</f>
        <v>0611834614100</v>
      </c>
      <c r="B5691" t="str">
        <f>"LK6704"</f>
        <v>LK6704</v>
      </c>
      <c r="C5691" t="s">
        <v>5569</v>
      </c>
    </row>
    <row r="5692" spans="1:3" x14ac:dyDescent="0.25">
      <c r="A5692" t="str">
        <f>"0611834615100"</f>
        <v>0611834615100</v>
      </c>
      <c r="B5692" t="str">
        <f>"LK6643"</f>
        <v>LK6643</v>
      </c>
      <c r="C5692" t="s">
        <v>5570</v>
      </c>
    </row>
    <row r="5693" spans="1:3" x14ac:dyDescent="0.25">
      <c r="A5693" t="str">
        <f>"0611834616100"</f>
        <v>0611834616100</v>
      </c>
      <c r="B5693" t="str">
        <f>"LK6843"</f>
        <v>LK6843</v>
      </c>
      <c r="C5693" t="s">
        <v>5571</v>
      </c>
    </row>
    <row r="5694" spans="1:3" x14ac:dyDescent="0.25">
      <c r="A5694" t="str">
        <f>"0611834617100"</f>
        <v>0611834617100</v>
      </c>
      <c r="B5694" t="str">
        <f>"LK6705"</f>
        <v>LK6705</v>
      </c>
      <c r="C5694" t="s">
        <v>5572</v>
      </c>
    </row>
    <row r="5695" spans="1:3" x14ac:dyDescent="0.25">
      <c r="A5695" t="str">
        <f>"0611884237100"</f>
        <v>0611884237100</v>
      </c>
      <c r="B5695" t="str">
        <f>"LK7134"</f>
        <v>LK7134</v>
      </c>
      <c r="C5695" t="s">
        <v>5574</v>
      </c>
    </row>
    <row r="5696" spans="1:3" x14ac:dyDescent="0.25">
      <c r="A5696" t="str">
        <f>"0611834618100"</f>
        <v>0611834618100</v>
      </c>
      <c r="B5696" t="str">
        <f>"LK6901"</f>
        <v>LK6901</v>
      </c>
      <c r="C5696" t="s">
        <v>5573</v>
      </c>
    </row>
    <row r="5697" spans="1:3" x14ac:dyDescent="0.25">
      <c r="A5697" t="str">
        <f>"0611834619100"</f>
        <v>0611834619100</v>
      </c>
      <c r="B5697" t="str">
        <f>"LK6706"</f>
        <v>LK6706</v>
      </c>
      <c r="C5697" t="s">
        <v>5575</v>
      </c>
    </row>
    <row r="5698" spans="1:3" x14ac:dyDescent="0.25">
      <c r="A5698" t="str">
        <f>"0611906777100"</f>
        <v>0611906777100</v>
      </c>
      <c r="B5698" t="str">
        <f>"LK7212"</f>
        <v>LK7212</v>
      </c>
      <c r="C5698" t="s">
        <v>5576</v>
      </c>
    </row>
    <row r="5699" spans="1:3" x14ac:dyDescent="0.25">
      <c r="A5699" t="str">
        <f>"0611834620100"</f>
        <v>0611834620100</v>
      </c>
      <c r="B5699" t="str">
        <f>"LB3045"</f>
        <v>LB3045</v>
      </c>
      <c r="C5699" t="s">
        <v>5577</v>
      </c>
    </row>
    <row r="5700" spans="1:3" x14ac:dyDescent="0.25">
      <c r="A5700" t="str">
        <f>"0611834621100"</f>
        <v>0611834621100</v>
      </c>
      <c r="B5700" t="str">
        <f>"LK5002"</f>
        <v>LK5002</v>
      </c>
      <c r="C5700" t="s">
        <v>5578</v>
      </c>
    </row>
    <row r="5701" spans="1:3" x14ac:dyDescent="0.25">
      <c r="A5701" t="str">
        <f>"0611834628100"</f>
        <v>0611834628100</v>
      </c>
      <c r="B5701" t="str">
        <f>"LK5766"</f>
        <v>LK5766</v>
      </c>
      <c r="C5701" t="s">
        <v>5579</v>
      </c>
    </row>
    <row r="5702" spans="1:3" x14ac:dyDescent="0.25">
      <c r="A5702" t="str">
        <f>"0611834630100"</f>
        <v>0611834630100</v>
      </c>
      <c r="B5702" t="str">
        <f>"LB3022"</f>
        <v>LB3022</v>
      </c>
      <c r="C5702" t="s">
        <v>5580</v>
      </c>
    </row>
    <row r="5703" spans="1:3" x14ac:dyDescent="0.25">
      <c r="A5703" t="str">
        <f>"0611834631100"</f>
        <v>0611834631100</v>
      </c>
      <c r="B5703" t="str">
        <f>"LK3326"</f>
        <v>LK3326</v>
      </c>
      <c r="C5703" t="s">
        <v>5581</v>
      </c>
    </row>
    <row r="5704" spans="1:3" x14ac:dyDescent="0.25">
      <c r="A5704" t="str">
        <f>"0611834632100"</f>
        <v>0611834632100</v>
      </c>
      <c r="B5704" t="str">
        <f>"LB2945"</f>
        <v>LB2945</v>
      </c>
      <c r="C5704" t="s">
        <v>5582</v>
      </c>
    </row>
    <row r="5705" spans="1:3" x14ac:dyDescent="0.25">
      <c r="A5705" t="str">
        <f>"0611834633100"</f>
        <v>0611834633100</v>
      </c>
      <c r="B5705" t="str">
        <f>"LQ0932"</f>
        <v>LQ0932</v>
      </c>
      <c r="C5705" t="s">
        <v>5583</v>
      </c>
    </row>
    <row r="5706" spans="1:3" x14ac:dyDescent="0.25">
      <c r="A5706" t="str">
        <f>"0611834634100"</f>
        <v>0611834634100</v>
      </c>
      <c r="B5706" t="str">
        <f>"LQ0933"</f>
        <v>LQ0933</v>
      </c>
      <c r="C5706" t="s">
        <v>5584</v>
      </c>
    </row>
    <row r="5707" spans="1:3" x14ac:dyDescent="0.25">
      <c r="A5707" t="str">
        <f>"0611834635100"</f>
        <v>0611834635100</v>
      </c>
      <c r="B5707" t="str">
        <f>"LQ3285"</f>
        <v>LQ3285</v>
      </c>
      <c r="C5707" t="s">
        <v>5585</v>
      </c>
    </row>
    <row r="5708" spans="1:3" x14ac:dyDescent="0.25">
      <c r="A5708" t="str">
        <f>"0611834636100"</f>
        <v>0611834636100</v>
      </c>
      <c r="B5708" t="str">
        <f>"LQ0949"</f>
        <v>LQ0949</v>
      </c>
      <c r="C5708" t="s">
        <v>5586</v>
      </c>
    </row>
    <row r="5709" spans="1:3" x14ac:dyDescent="0.25">
      <c r="A5709" t="str">
        <f>"0611834637100"</f>
        <v>0611834637100</v>
      </c>
      <c r="B5709" t="str">
        <f>"LQ0950"</f>
        <v>LQ0950</v>
      </c>
      <c r="C5709" t="s">
        <v>5587</v>
      </c>
    </row>
    <row r="5710" spans="1:3" x14ac:dyDescent="0.25">
      <c r="A5710" t="str">
        <f>"0611834638100"</f>
        <v>0611834638100</v>
      </c>
      <c r="B5710" t="str">
        <f>"LQ0951"</f>
        <v>LQ0951</v>
      </c>
      <c r="C5710" t="s">
        <v>5588</v>
      </c>
    </row>
    <row r="5711" spans="1:3" x14ac:dyDescent="0.25">
      <c r="A5711" t="str">
        <f>"0611834639100"</f>
        <v>0611834639100</v>
      </c>
      <c r="B5711" t="str">
        <f>"LQ3271"</f>
        <v>LQ3271</v>
      </c>
      <c r="C5711" t="s">
        <v>5589</v>
      </c>
    </row>
    <row r="5712" spans="1:3" x14ac:dyDescent="0.25">
      <c r="A5712" t="str">
        <f>"0611834640100"</f>
        <v>0611834640100</v>
      </c>
      <c r="B5712" t="str">
        <f>"LQ3272"</f>
        <v>LQ3272</v>
      </c>
      <c r="C5712" t="s">
        <v>5590</v>
      </c>
    </row>
    <row r="5713" spans="1:3" x14ac:dyDescent="0.25">
      <c r="A5713" t="str">
        <f>"0611834641100"</f>
        <v>0611834641100</v>
      </c>
      <c r="B5713" t="str">
        <f>"LQ0952"</f>
        <v>LQ0952</v>
      </c>
      <c r="C5713" t="s">
        <v>5591</v>
      </c>
    </row>
    <row r="5714" spans="1:3" x14ac:dyDescent="0.25">
      <c r="A5714" t="str">
        <f>"0611834642100"</f>
        <v>0611834642100</v>
      </c>
      <c r="B5714" t="str">
        <f>"LQ0953"</f>
        <v>LQ0953</v>
      </c>
      <c r="C5714" t="s">
        <v>5592</v>
      </c>
    </row>
    <row r="5715" spans="1:3" x14ac:dyDescent="0.25">
      <c r="A5715" t="str">
        <f>"0611906778100"</f>
        <v>0611906778100</v>
      </c>
      <c r="B5715" t="str">
        <f>"LK7208"</f>
        <v>LK7208</v>
      </c>
      <c r="C5715" t="s">
        <v>5593</v>
      </c>
    </row>
    <row r="5716" spans="1:3" x14ac:dyDescent="0.25">
      <c r="A5716" t="str">
        <f>"0611834643100"</f>
        <v>0611834643100</v>
      </c>
      <c r="B5716" t="str">
        <f>"LQ0954"</f>
        <v>LQ0954</v>
      </c>
      <c r="C5716" t="s">
        <v>5594</v>
      </c>
    </row>
    <row r="5717" spans="1:3" x14ac:dyDescent="0.25">
      <c r="A5717" t="str">
        <f>"0611856961100"</f>
        <v>0611856961100</v>
      </c>
      <c r="B5717" t="str">
        <f>"LQ3276"</f>
        <v>LQ3276</v>
      </c>
      <c r="C5717" t="s">
        <v>5595</v>
      </c>
    </row>
    <row r="5718" spans="1:3" x14ac:dyDescent="0.25">
      <c r="A5718" t="str">
        <f>"0611856962100"</f>
        <v>0611856962100</v>
      </c>
      <c r="B5718" t="str">
        <f>"LQ3884"</f>
        <v>LQ3884</v>
      </c>
      <c r="C5718" t="s">
        <v>5596</v>
      </c>
    </row>
    <row r="5719" spans="1:3" x14ac:dyDescent="0.25">
      <c r="A5719" t="str">
        <f>"0611834644100"</f>
        <v>0611834644100</v>
      </c>
      <c r="B5719" t="str">
        <f>"LQ3273"</f>
        <v>LQ3273</v>
      </c>
      <c r="C5719" t="s">
        <v>5597</v>
      </c>
    </row>
    <row r="5720" spans="1:3" x14ac:dyDescent="0.25">
      <c r="A5720" t="str">
        <f>"0611834645100"</f>
        <v>0611834645100</v>
      </c>
      <c r="B5720" t="str">
        <f>"LQ0955"</f>
        <v>LQ0955</v>
      </c>
      <c r="C5720" t="s">
        <v>5598</v>
      </c>
    </row>
    <row r="5721" spans="1:3" x14ac:dyDescent="0.25">
      <c r="A5721" t="str">
        <f>"0611834646100"</f>
        <v>0611834646100</v>
      </c>
      <c r="B5721" t="str">
        <f>"LQ3277"</f>
        <v>LQ3277</v>
      </c>
      <c r="C5721" t="s">
        <v>5599</v>
      </c>
    </row>
    <row r="5722" spans="1:3" x14ac:dyDescent="0.25">
      <c r="A5722" t="str">
        <f>"0611856963100"</f>
        <v>0611856963100</v>
      </c>
      <c r="B5722" t="str">
        <f>"LQ3885"</f>
        <v>LQ3885</v>
      </c>
      <c r="C5722" t="s">
        <v>5600</v>
      </c>
    </row>
    <row r="5723" spans="1:3" x14ac:dyDescent="0.25">
      <c r="A5723" t="str">
        <f>"0611834648025"</f>
        <v>0611834648025</v>
      </c>
      <c r="B5723" t="str">
        <f>"MC1431"</f>
        <v>MC1431</v>
      </c>
      <c r="C5723" t="s">
        <v>5601</v>
      </c>
    </row>
    <row r="5724" spans="1:3" x14ac:dyDescent="0.25">
      <c r="A5724" t="str">
        <f>"0611834650100"</f>
        <v>0611834650100</v>
      </c>
      <c r="B5724" t="str">
        <f>"LK1247"</f>
        <v>LK1247</v>
      </c>
      <c r="C5724" t="s">
        <v>5603</v>
      </c>
    </row>
    <row r="5725" spans="1:3" x14ac:dyDescent="0.25">
      <c r="A5725" t="str">
        <f>"0611834651100"</f>
        <v>0611834651100</v>
      </c>
      <c r="B5725" t="str">
        <f>"LK0726"</f>
        <v>LK0726</v>
      </c>
      <c r="C5725" t="s">
        <v>5604</v>
      </c>
    </row>
    <row r="5726" spans="1:3" x14ac:dyDescent="0.25">
      <c r="A5726" t="str">
        <f>"0611834653100"</f>
        <v>0611834653100</v>
      </c>
      <c r="B5726" t="str">
        <f>"LK1575"</f>
        <v>LK1575</v>
      </c>
      <c r="C5726" t="s">
        <v>5605</v>
      </c>
    </row>
    <row r="5727" spans="1:3" x14ac:dyDescent="0.25">
      <c r="A5727" t="str">
        <f>"0611834654100"</f>
        <v>0611834654100</v>
      </c>
      <c r="B5727" t="str">
        <f>"LK4475"</f>
        <v>LK4475</v>
      </c>
      <c r="C5727" t="s">
        <v>5606</v>
      </c>
    </row>
    <row r="5728" spans="1:3" x14ac:dyDescent="0.25">
      <c r="A5728" t="str">
        <f>"0611834656100"</f>
        <v>0611834656100</v>
      </c>
      <c r="B5728" t="str">
        <f>"LB3009"</f>
        <v>LB3009</v>
      </c>
      <c r="C5728" t="s">
        <v>5607</v>
      </c>
    </row>
    <row r="5729" spans="1:3" x14ac:dyDescent="0.25">
      <c r="A5729" t="str">
        <f>"0611834657100"</f>
        <v>0611834657100</v>
      </c>
      <c r="B5729" t="str">
        <f>"LK4181"</f>
        <v>LK4181</v>
      </c>
      <c r="C5729" t="s">
        <v>5608</v>
      </c>
    </row>
    <row r="5730" spans="1:3" x14ac:dyDescent="0.25">
      <c r="A5730" t="str">
        <f>"0611834658100"</f>
        <v>0611834658100</v>
      </c>
      <c r="B5730" t="str">
        <f>"LK2834"</f>
        <v>LK2834</v>
      </c>
      <c r="C5730" t="s">
        <v>5609</v>
      </c>
    </row>
    <row r="5731" spans="1:3" x14ac:dyDescent="0.25">
      <c r="A5731" t="str">
        <f>"0611834659100"</f>
        <v>0611834659100</v>
      </c>
      <c r="B5731" t="str">
        <f>"LK1094"</f>
        <v>LK1094</v>
      </c>
      <c r="C5731" t="s">
        <v>5611</v>
      </c>
    </row>
    <row r="5732" spans="1:3" x14ac:dyDescent="0.25">
      <c r="A5732" t="str">
        <f>"0611834660100"</f>
        <v>0611834660100</v>
      </c>
      <c r="B5732" t="str">
        <f>"LK1576"</f>
        <v>LK1576</v>
      </c>
      <c r="C5732" t="s">
        <v>5610</v>
      </c>
    </row>
    <row r="5733" spans="1:3" x14ac:dyDescent="0.25">
      <c r="A5733" t="str">
        <f>"0611834662100"</f>
        <v>0611834662100</v>
      </c>
      <c r="B5733" t="str">
        <f>"LK4826"</f>
        <v>LK4826</v>
      </c>
      <c r="C5733" t="s">
        <v>5612</v>
      </c>
    </row>
    <row r="5734" spans="1:3" x14ac:dyDescent="0.25">
      <c r="A5734" t="str">
        <f>"0611834663100"</f>
        <v>0611834663100</v>
      </c>
      <c r="B5734" t="str">
        <f>"LK5468"</f>
        <v>LK5468</v>
      </c>
      <c r="C5734" t="s">
        <v>5613</v>
      </c>
    </row>
    <row r="5735" spans="1:3" x14ac:dyDescent="0.25">
      <c r="A5735" t="str">
        <f>"0611834664100"</f>
        <v>0611834664100</v>
      </c>
      <c r="B5735" t="str">
        <f>"LK3328"</f>
        <v>LK3328</v>
      </c>
      <c r="C5735" t="s">
        <v>5615</v>
      </c>
    </row>
    <row r="5736" spans="1:3" x14ac:dyDescent="0.25">
      <c r="A5736" t="str">
        <f>"0611834665100"</f>
        <v>0611834665100</v>
      </c>
      <c r="B5736" t="str">
        <f>"LK4827"</f>
        <v>LK4827</v>
      </c>
      <c r="C5736" t="s">
        <v>5616</v>
      </c>
    </row>
    <row r="5737" spans="1:3" x14ac:dyDescent="0.25">
      <c r="A5737" t="str">
        <f>"0611834666100"</f>
        <v>0611834666100</v>
      </c>
      <c r="B5737" t="str">
        <f>"LK2108"</f>
        <v>LK2108</v>
      </c>
      <c r="C5737" t="s">
        <v>5617</v>
      </c>
    </row>
    <row r="5738" spans="1:3" x14ac:dyDescent="0.25">
      <c r="A5738" t="str">
        <f>"0611834668100"</f>
        <v>0611834668100</v>
      </c>
      <c r="B5738" t="str">
        <f>"LK1577"</f>
        <v>LK1577</v>
      </c>
      <c r="C5738" t="s">
        <v>5618</v>
      </c>
    </row>
    <row r="5739" spans="1:3" x14ac:dyDescent="0.25">
      <c r="A5739" t="str">
        <f>"0611834669100"</f>
        <v>0611834669100</v>
      </c>
      <c r="B5739" t="str">
        <f>"LK0728"</f>
        <v>LK0728</v>
      </c>
      <c r="C5739" t="s">
        <v>5619</v>
      </c>
    </row>
    <row r="5740" spans="1:3" x14ac:dyDescent="0.25">
      <c r="A5740" t="str">
        <f>"0611834670100"</f>
        <v>0611834670100</v>
      </c>
      <c r="B5740" t="str">
        <f>"LK0178"</f>
        <v>LK0178</v>
      </c>
      <c r="C5740" t="s">
        <v>5620</v>
      </c>
    </row>
    <row r="5741" spans="1:3" x14ac:dyDescent="0.25">
      <c r="A5741" t="str">
        <f>"0611834671100"</f>
        <v>0611834671100</v>
      </c>
      <c r="B5741" t="str">
        <f>"LK3595"</f>
        <v>LK3595</v>
      </c>
      <c r="C5741" t="s">
        <v>5614</v>
      </c>
    </row>
    <row r="5742" spans="1:3" x14ac:dyDescent="0.25">
      <c r="A5742" t="str">
        <f>"0611884238100"</f>
        <v>0611884238100</v>
      </c>
      <c r="B5742" t="str">
        <f>"LK7165"</f>
        <v>LK7165</v>
      </c>
      <c r="C5742" t="s">
        <v>5624</v>
      </c>
    </row>
    <row r="5743" spans="1:3" x14ac:dyDescent="0.25">
      <c r="A5743" t="str">
        <f>"0611834673100"</f>
        <v>0611834673100</v>
      </c>
      <c r="B5743" t="str">
        <f>"LK6056"</f>
        <v>LK6056</v>
      </c>
      <c r="C5743" t="s">
        <v>5621</v>
      </c>
    </row>
    <row r="5744" spans="1:3" x14ac:dyDescent="0.25">
      <c r="A5744" t="str">
        <f>"0611834674100"</f>
        <v>0611834674100</v>
      </c>
      <c r="B5744" t="str">
        <f>"LK6057"</f>
        <v>LK6057</v>
      </c>
      <c r="C5744" t="s">
        <v>5622</v>
      </c>
    </row>
    <row r="5745" spans="1:3" x14ac:dyDescent="0.25">
      <c r="A5745" t="str">
        <f>"0611834675100"</f>
        <v>0611834675100</v>
      </c>
      <c r="B5745" t="str">
        <f>"LK6058"</f>
        <v>LK6058</v>
      </c>
      <c r="C5745" t="s">
        <v>5623</v>
      </c>
    </row>
    <row r="5746" spans="1:3" x14ac:dyDescent="0.25">
      <c r="A5746" t="str">
        <f>"0611834676100"</f>
        <v>0611834676100</v>
      </c>
      <c r="B5746" t="str">
        <f>"LK6238"</f>
        <v>LK6238</v>
      </c>
      <c r="C5746" t="s">
        <v>5625</v>
      </c>
    </row>
    <row r="5747" spans="1:3" x14ac:dyDescent="0.25">
      <c r="A5747" t="str">
        <f>"0611834677100"</f>
        <v>0611834677100</v>
      </c>
      <c r="B5747" t="str">
        <f>"LK6059"</f>
        <v>LK6059</v>
      </c>
      <c r="C5747" t="s">
        <v>5626</v>
      </c>
    </row>
    <row r="5748" spans="1:3" x14ac:dyDescent="0.25">
      <c r="A5748" t="str">
        <f>"0611834679100"</f>
        <v>0611834679100</v>
      </c>
      <c r="B5748" t="str">
        <f>"LK6061"</f>
        <v>LK6061</v>
      </c>
      <c r="C5748" t="s">
        <v>5627</v>
      </c>
    </row>
    <row r="5749" spans="1:3" x14ac:dyDescent="0.25">
      <c r="A5749" t="str">
        <f>"0611834680100"</f>
        <v>0611834680100</v>
      </c>
      <c r="B5749" t="str">
        <f>"LK6062"</f>
        <v>LK6062</v>
      </c>
      <c r="C5749" t="s">
        <v>5628</v>
      </c>
    </row>
    <row r="5750" spans="1:3" x14ac:dyDescent="0.25">
      <c r="A5750" t="str">
        <f>"0611834693100"</f>
        <v>0611834693100</v>
      </c>
      <c r="B5750" t="str">
        <f>"LK6645"</f>
        <v>LK6645</v>
      </c>
      <c r="C5750" t="s">
        <v>5638</v>
      </c>
    </row>
    <row r="5751" spans="1:3" x14ac:dyDescent="0.25">
      <c r="A5751" t="str">
        <f>"0611834694100"</f>
        <v>0611834694100</v>
      </c>
      <c r="B5751" t="str">
        <f>"LK6240"</f>
        <v>LK6240</v>
      </c>
      <c r="C5751" t="s">
        <v>5640</v>
      </c>
    </row>
    <row r="5752" spans="1:3" x14ac:dyDescent="0.25">
      <c r="A5752" t="str">
        <f>"0611834695100"</f>
        <v>0611834695100</v>
      </c>
      <c r="B5752" t="str">
        <f>"LK6067"</f>
        <v>LK6067</v>
      </c>
      <c r="C5752" t="s">
        <v>5642</v>
      </c>
    </row>
    <row r="5753" spans="1:3" x14ac:dyDescent="0.25">
      <c r="A5753" t="str">
        <f>"0611834697100"</f>
        <v>0611834697100</v>
      </c>
      <c r="B5753" t="str">
        <f>"LK6646"</f>
        <v>LK6646</v>
      </c>
      <c r="C5753" t="s">
        <v>5639</v>
      </c>
    </row>
    <row r="5754" spans="1:3" x14ac:dyDescent="0.25">
      <c r="A5754" t="str">
        <f>"0611834700100"</f>
        <v>0611834700100</v>
      </c>
      <c r="B5754" t="str">
        <f>"LK5778"</f>
        <v>LK5778</v>
      </c>
      <c r="C5754" t="s">
        <v>5646</v>
      </c>
    </row>
    <row r="5755" spans="1:3" x14ac:dyDescent="0.25">
      <c r="A5755" t="str">
        <f>"0611834699100"</f>
        <v>0611834699100</v>
      </c>
      <c r="B5755" t="str">
        <f>"LK6068"</f>
        <v>LK6068</v>
      </c>
      <c r="C5755" t="s">
        <v>5644</v>
      </c>
    </row>
    <row r="5756" spans="1:3" x14ac:dyDescent="0.25">
      <c r="A5756" t="str">
        <f>"0611834701100"</f>
        <v>0611834701100</v>
      </c>
      <c r="B5756" t="str">
        <f>"LK4655"</f>
        <v>LK4655</v>
      </c>
      <c r="C5756" t="s">
        <v>5647</v>
      </c>
    </row>
    <row r="5757" spans="1:3" x14ac:dyDescent="0.25">
      <c r="A5757" t="str">
        <f>"0611834702100"</f>
        <v>0611834702100</v>
      </c>
      <c r="B5757" t="str">
        <f>"LK6069"</f>
        <v>LK6069</v>
      </c>
      <c r="C5757" t="s">
        <v>5648</v>
      </c>
    </row>
    <row r="5758" spans="1:3" x14ac:dyDescent="0.25">
      <c r="A5758" t="str">
        <f>"0611834703100"</f>
        <v>0611834703100</v>
      </c>
      <c r="B5758" t="str">
        <f>"LK6070"</f>
        <v>LK6070</v>
      </c>
      <c r="C5758" t="s">
        <v>5649</v>
      </c>
    </row>
    <row r="5759" spans="1:3" x14ac:dyDescent="0.25">
      <c r="A5759" t="str">
        <f>"0611834681100"</f>
        <v>0611834681100</v>
      </c>
      <c r="B5759" t="str">
        <f>"LB3024"</f>
        <v>LB3024</v>
      </c>
      <c r="C5759" t="s">
        <v>5629</v>
      </c>
    </row>
    <row r="5760" spans="1:3" x14ac:dyDescent="0.25">
      <c r="A5760" t="str">
        <f>"0611834685100"</f>
        <v>0611834685100</v>
      </c>
      <c r="B5760" t="str">
        <f>"LQ3756"</f>
        <v>LQ3756</v>
      </c>
      <c r="C5760" t="s">
        <v>5630</v>
      </c>
    </row>
    <row r="5761" spans="1:3" x14ac:dyDescent="0.25">
      <c r="A5761" t="str">
        <f>"0611834715100"</f>
        <v>0611834715100</v>
      </c>
      <c r="B5761" t="str">
        <f>"LK6239"</f>
        <v>LK6239</v>
      </c>
      <c r="C5761" t="s">
        <v>5631</v>
      </c>
    </row>
    <row r="5762" spans="1:3" x14ac:dyDescent="0.25">
      <c r="A5762" t="str">
        <f>"0611834711100"</f>
        <v>0611834711100</v>
      </c>
      <c r="B5762" t="str">
        <f>"LK6063"</f>
        <v>LK6063</v>
      </c>
      <c r="C5762" t="s">
        <v>5654</v>
      </c>
    </row>
    <row r="5763" spans="1:3" x14ac:dyDescent="0.25">
      <c r="A5763" t="str">
        <f>"0611834712100"</f>
        <v>0611834712100</v>
      </c>
      <c r="B5763" t="str">
        <f>"LK6064"</f>
        <v>LK6064</v>
      </c>
      <c r="C5763" t="s">
        <v>5657</v>
      </c>
    </row>
    <row r="5764" spans="1:3" x14ac:dyDescent="0.25">
      <c r="A5764" t="str">
        <f>"0611834713100"</f>
        <v>0611834713100</v>
      </c>
      <c r="B5764" t="str">
        <f>"LK6065"</f>
        <v>LK6065</v>
      </c>
      <c r="C5764" t="s">
        <v>5658</v>
      </c>
    </row>
    <row r="5765" spans="1:3" x14ac:dyDescent="0.25">
      <c r="A5765" t="str">
        <f>"0611834714100"</f>
        <v>0611834714100</v>
      </c>
      <c r="B5765" t="str">
        <f>"LK5774"</f>
        <v>LK5774</v>
      </c>
      <c r="C5765" t="s">
        <v>5664</v>
      </c>
    </row>
    <row r="5766" spans="1:3" x14ac:dyDescent="0.25">
      <c r="A5766" t="str">
        <f>"0611834688100"</f>
        <v>0611834688100</v>
      </c>
      <c r="B5766" t="str">
        <f>"LK5565"</f>
        <v>LK5565</v>
      </c>
      <c r="C5766" t="s">
        <v>5632</v>
      </c>
    </row>
    <row r="5767" spans="1:3" x14ac:dyDescent="0.25">
      <c r="A5767" t="str">
        <f>"0611834689100"</f>
        <v>0611834689100</v>
      </c>
      <c r="B5767" t="str">
        <f>"LK5775"</f>
        <v>LK5775</v>
      </c>
      <c r="C5767" t="s">
        <v>5633</v>
      </c>
    </row>
    <row r="5768" spans="1:3" x14ac:dyDescent="0.25">
      <c r="A5768" t="str">
        <f>"0611834716100"</f>
        <v>0611834716100</v>
      </c>
      <c r="B5768" t="str">
        <f>"LK6066"</f>
        <v>LK6066</v>
      </c>
      <c r="C5768" t="s">
        <v>5634</v>
      </c>
    </row>
    <row r="5769" spans="1:3" x14ac:dyDescent="0.25">
      <c r="A5769" t="str">
        <f>"0611834690100"</f>
        <v>0611834690100</v>
      </c>
      <c r="B5769" t="str">
        <f>"LK6902"</f>
        <v>LK6902</v>
      </c>
      <c r="C5769" t="s">
        <v>5635</v>
      </c>
    </row>
    <row r="5770" spans="1:3" x14ac:dyDescent="0.25">
      <c r="A5770" t="str">
        <f>"0611834717100"</f>
        <v>0611834717100</v>
      </c>
      <c r="B5770" t="str">
        <f>"LK6644"</f>
        <v>LK6644</v>
      </c>
      <c r="C5770" t="s">
        <v>5636</v>
      </c>
    </row>
    <row r="5771" spans="1:3" x14ac:dyDescent="0.25">
      <c r="A5771" t="str">
        <f>"0611834692100"</f>
        <v>0611834692100</v>
      </c>
      <c r="B5771" t="str">
        <f>"LK5469"</f>
        <v>LK5469</v>
      </c>
      <c r="C5771" t="s">
        <v>5637</v>
      </c>
    </row>
    <row r="5772" spans="1:3" x14ac:dyDescent="0.25">
      <c r="A5772" t="str">
        <f>"0611834718100"</f>
        <v>0611834718100</v>
      </c>
      <c r="B5772" t="str">
        <f>"LK2835"</f>
        <v>LK2835</v>
      </c>
      <c r="C5772" t="s">
        <v>5641</v>
      </c>
    </row>
    <row r="5773" spans="1:3" x14ac:dyDescent="0.25">
      <c r="A5773" t="str">
        <f>"0611884239100"</f>
        <v>0611884239100</v>
      </c>
      <c r="B5773" t="str">
        <f>"LK7136"</f>
        <v>LK7136</v>
      </c>
      <c r="C5773" t="s">
        <v>5643</v>
      </c>
    </row>
    <row r="5774" spans="1:3" x14ac:dyDescent="0.25">
      <c r="A5774" t="str">
        <f>"0611834719100"</f>
        <v>0611834719100</v>
      </c>
      <c r="B5774" t="str">
        <f>"LK3837"</f>
        <v>LK3837</v>
      </c>
      <c r="C5774" t="s">
        <v>5645</v>
      </c>
    </row>
    <row r="5775" spans="1:3" x14ac:dyDescent="0.25">
      <c r="A5775" t="str">
        <f>"0611834720100"</f>
        <v>0611834720100</v>
      </c>
      <c r="B5775" t="str">
        <f>"LK0181"</f>
        <v>LK0181</v>
      </c>
      <c r="C5775" t="s">
        <v>5650</v>
      </c>
    </row>
    <row r="5776" spans="1:3" x14ac:dyDescent="0.25">
      <c r="A5776" t="str">
        <f>"0611884240100"</f>
        <v>0611884240100</v>
      </c>
      <c r="B5776" t="str">
        <f>"LK7135"</f>
        <v>LK7135</v>
      </c>
      <c r="C5776" t="s">
        <v>5651</v>
      </c>
    </row>
    <row r="5777" spans="1:3" x14ac:dyDescent="0.25">
      <c r="A5777" t="str">
        <f>"0611834721100"</f>
        <v>0611834721100</v>
      </c>
      <c r="B5777" t="str">
        <f>"LK5568"</f>
        <v>LK5568</v>
      </c>
      <c r="C5777" t="s">
        <v>5652</v>
      </c>
    </row>
    <row r="5778" spans="1:3" x14ac:dyDescent="0.25">
      <c r="A5778" t="str">
        <f>"0611834706100"</f>
        <v>0611834706100</v>
      </c>
      <c r="B5778" t="str">
        <f>"LK0731"</f>
        <v>LK0731</v>
      </c>
      <c r="C5778" t="s">
        <v>5653</v>
      </c>
    </row>
    <row r="5779" spans="1:3" x14ac:dyDescent="0.25">
      <c r="A5779" t="str">
        <f>"0611834707100"</f>
        <v>0611834707100</v>
      </c>
      <c r="B5779" t="str">
        <f>"LK0733"</f>
        <v>LK0733</v>
      </c>
      <c r="C5779" t="s">
        <v>5655</v>
      </c>
    </row>
    <row r="5780" spans="1:3" x14ac:dyDescent="0.25">
      <c r="A5780" t="str">
        <f>"0611834723100"</f>
        <v>0611834723100</v>
      </c>
      <c r="B5780" t="str">
        <f>"LK5779"</f>
        <v>LK5779</v>
      </c>
      <c r="C5780" t="s">
        <v>5656</v>
      </c>
    </row>
    <row r="5781" spans="1:3" x14ac:dyDescent="0.25">
      <c r="A5781" t="str">
        <f>"0611834709100"</f>
        <v>0611834709100</v>
      </c>
      <c r="B5781" t="str">
        <f>"LK6241"</f>
        <v>LK6241</v>
      </c>
      <c r="C5781" t="s">
        <v>5661</v>
      </c>
    </row>
    <row r="5782" spans="1:3" x14ac:dyDescent="0.25">
      <c r="A5782" t="str">
        <f>"0611834708100"</f>
        <v>0611834708100</v>
      </c>
      <c r="B5782" t="str">
        <f>"LK1579"</f>
        <v>LK1579</v>
      </c>
      <c r="C5782" t="s">
        <v>5659</v>
      </c>
    </row>
    <row r="5783" spans="1:3" x14ac:dyDescent="0.25">
      <c r="A5783" t="str">
        <f>"0611834725100"</f>
        <v>0611834725100</v>
      </c>
      <c r="B5783" t="str">
        <f>"LK6071"</f>
        <v>LK6071</v>
      </c>
      <c r="C5783" t="s">
        <v>5660</v>
      </c>
    </row>
    <row r="5784" spans="1:3" x14ac:dyDescent="0.25">
      <c r="A5784" t="str">
        <f>"0611834728100"</f>
        <v>0611834728100</v>
      </c>
      <c r="B5784" t="str">
        <f>"LK4656"</f>
        <v>LK4656</v>
      </c>
      <c r="C5784" t="s">
        <v>5662</v>
      </c>
    </row>
    <row r="5785" spans="1:3" x14ac:dyDescent="0.25">
      <c r="A5785" t="str">
        <f>"0611834727100"</f>
        <v>0611834727100</v>
      </c>
      <c r="B5785" t="str">
        <f>"LK5569"</f>
        <v>LK5569</v>
      </c>
      <c r="C5785" t="s">
        <v>5663</v>
      </c>
    </row>
    <row r="5786" spans="1:3" x14ac:dyDescent="0.25">
      <c r="A5786" t="str">
        <f>"0611834710100"</f>
        <v>0611834710100</v>
      </c>
      <c r="B5786" t="str">
        <f>"LK0736"</f>
        <v>LK0736</v>
      </c>
      <c r="C5786" t="s">
        <v>5665</v>
      </c>
    </row>
    <row r="5787" spans="1:3" x14ac:dyDescent="0.25">
      <c r="A5787" t="str">
        <f>"0611834729100"</f>
        <v>0611834729100</v>
      </c>
      <c r="B5787" t="str">
        <f>"LK4184"</f>
        <v>LK4184</v>
      </c>
      <c r="C5787" t="s">
        <v>5666</v>
      </c>
    </row>
    <row r="5788" spans="1:3" x14ac:dyDescent="0.25">
      <c r="A5788" t="str">
        <f>"0611834730100"</f>
        <v>0611834730100</v>
      </c>
      <c r="B5788" t="str">
        <f>"LK2635"</f>
        <v>LK2635</v>
      </c>
      <c r="C5788" t="s">
        <v>5667</v>
      </c>
    </row>
    <row r="5789" spans="1:3" x14ac:dyDescent="0.25">
      <c r="A5789" t="str">
        <f>"0611834731100"</f>
        <v>0611834731100</v>
      </c>
      <c r="B5789" t="str">
        <f>"LK2636"</f>
        <v>LK2636</v>
      </c>
      <c r="C5789" t="s">
        <v>5668</v>
      </c>
    </row>
    <row r="5790" spans="1:3" x14ac:dyDescent="0.25">
      <c r="A5790" t="str">
        <f>"0611834732100"</f>
        <v>0611834732100</v>
      </c>
      <c r="B5790" t="str">
        <f>"LK2638"</f>
        <v>LK2638</v>
      </c>
      <c r="C5790" t="s">
        <v>5669</v>
      </c>
    </row>
    <row r="5791" spans="1:3" x14ac:dyDescent="0.25">
      <c r="A5791" t="str">
        <f>"0611834733100"</f>
        <v>0611834733100</v>
      </c>
      <c r="B5791" t="str">
        <f>"LK2640"</f>
        <v>LK2640</v>
      </c>
      <c r="C5791" t="s">
        <v>5670</v>
      </c>
    </row>
    <row r="5792" spans="1:3" x14ac:dyDescent="0.25">
      <c r="A5792" t="str">
        <f>"0611834734100"</f>
        <v>0611834734100</v>
      </c>
      <c r="B5792" t="str">
        <f>"LK2642"</f>
        <v>LK2642</v>
      </c>
      <c r="C5792" t="s">
        <v>5671</v>
      </c>
    </row>
    <row r="5793" spans="1:3" x14ac:dyDescent="0.25">
      <c r="A5793" t="str">
        <f>"0611834735100"</f>
        <v>0611834735100</v>
      </c>
      <c r="B5793" t="str">
        <f>"LK6072"</f>
        <v>LK6072</v>
      </c>
      <c r="C5793" t="s">
        <v>5672</v>
      </c>
    </row>
    <row r="5794" spans="1:3" x14ac:dyDescent="0.25">
      <c r="A5794" t="str">
        <f>"0611834736100"</f>
        <v>0611834736100</v>
      </c>
      <c r="B5794" t="str">
        <f>"LK2643"</f>
        <v>LK2643</v>
      </c>
      <c r="C5794" t="s">
        <v>5673</v>
      </c>
    </row>
    <row r="5795" spans="1:3" x14ac:dyDescent="0.25">
      <c r="A5795" t="str">
        <f>"0611834737100"</f>
        <v>0611834737100</v>
      </c>
      <c r="B5795" t="str">
        <f>"LK2644"</f>
        <v>LK2644</v>
      </c>
      <c r="C5795" t="s">
        <v>5674</v>
      </c>
    </row>
    <row r="5796" spans="1:3" x14ac:dyDescent="0.25">
      <c r="A5796" t="str">
        <f>"0611834738100"</f>
        <v>0611834738100</v>
      </c>
      <c r="B5796" t="str">
        <f>"LK2645"</f>
        <v>LK2645</v>
      </c>
      <c r="C5796" t="s">
        <v>5675</v>
      </c>
    </row>
    <row r="5797" spans="1:3" x14ac:dyDescent="0.25">
      <c r="A5797" t="str">
        <f>"0611834739100"</f>
        <v>0611834739100</v>
      </c>
      <c r="B5797" t="str">
        <f>"LK2651"</f>
        <v>LK2651</v>
      </c>
      <c r="C5797" t="s">
        <v>5676</v>
      </c>
    </row>
    <row r="5798" spans="1:3" x14ac:dyDescent="0.25">
      <c r="A5798" t="str">
        <f>"0611834740100"</f>
        <v>0611834740100</v>
      </c>
      <c r="B5798" t="str">
        <f>"LH8840"</f>
        <v>LH8840</v>
      </c>
      <c r="C5798" t="s">
        <v>5677</v>
      </c>
    </row>
    <row r="5799" spans="1:3" x14ac:dyDescent="0.25">
      <c r="A5799" t="str">
        <f>"0611834741025"</f>
        <v>0611834741025</v>
      </c>
      <c r="B5799" t="str">
        <f>"MC4202"</f>
        <v>MC4202</v>
      </c>
      <c r="C5799" t="s">
        <v>5678</v>
      </c>
    </row>
    <row r="5800" spans="1:3" x14ac:dyDescent="0.25">
      <c r="A5800" t="str">
        <f>"0611834744025"</f>
        <v>0611834744025</v>
      </c>
      <c r="B5800" t="str">
        <f>"MC1899"</f>
        <v>MC1899</v>
      </c>
      <c r="C5800" t="s">
        <v>5679</v>
      </c>
    </row>
    <row r="5801" spans="1:3" x14ac:dyDescent="0.25">
      <c r="A5801" t="str">
        <f>"0611834746025"</f>
        <v>0611834746025</v>
      </c>
      <c r="B5801" t="str">
        <f>"MC3732"</f>
        <v>MC3732</v>
      </c>
      <c r="C5801" t="s">
        <v>5680</v>
      </c>
    </row>
    <row r="5802" spans="1:3" x14ac:dyDescent="0.25">
      <c r="A5802" t="str">
        <f>"0611834747025"</f>
        <v>0611834747025</v>
      </c>
      <c r="B5802" t="str">
        <f>"MC3350"</f>
        <v>MC3350</v>
      </c>
      <c r="C5802" t="s">
        <v>5681</v>
      </c>
    </row>
    <row r="5803" spans="1:3" x14ac:dyDescent="0.25">
      <c r="A5803" t="str">
        <f>"0611834748025"</f>
        <v>0611834748025</v>
      </c>
      <c r="B5803" t="str">
        <f>"MC0307"</f>
        <v>MC0307</v>
      </c>
      <c r="C5803" t="s">
        <v>5682</v>
      </c>
    </row>
    <row r="5804" spans="1:3" x14ac:dyDescent="0.25">
      <c r="A5804" t="str">
        <f>"0611834749100"</f>
        <v>0611834749100</v>
      </c>
      <c r="B5804" t="str">
        <f>"LH4228"</f>
        <v>LH4228</v>
      </c>
      <c r="C5804" t="s">
        <v>5683</v>
      </c>
    </row>
    <row r="5805" spans="1:3" x14ac:dyDescent="0.25">
      <c r="A5805" t="str">
        <f>"0611834750025"</f>
        <v>0611834750025</v>
      </c>
      <c r="B5805" t="str">
        <f>"MC0308"</f>
        <v>MC0308</v>
      </c>
      <c r="C5805" t="s">
        <v>5684</v>
      </c>
    </row>
    <row r="5806" spans="1:3" x14ac:dyDescent="0.25">
      <c r="A5806" t="str">
        <f>"0611834752025"</f>
        <v>0611834752025</v>
      </c>
      <c r="B5806" t="str">
        <f>"MQ5106"</f>
        <v>MQ5106</v>
      </c>
      <c r="C5806" t="s">
        <v>5685</v>
      </c>
    </row>
    <row r="5807" spans="1:3" x14ac:dyDescent="0.25">
      <c r="A5807" t="str">
        <f>"0611834753100"</f>
        <v>0611834753100</v>
      </c>
      <c r="B5807" t="str">
        <f>"MB2950"</f>
        <v>MB2950</v>
      </c>
      <c r="C5807" t="s">
        <v>5686</v>
      </c>
    </row>
    <row r="5808" spans="1:3" x14ac:dyDescent="0.25">
      <c r="A5808" t="str">
        <f>"0611834754100"</f>
        <v>0611834754100</v>
      </c>
      <c r="B5808" t="str">
        <f>"LF2950"</f>
        <v>LF2950</v>
      </c>
      <c r="C5808" t="s">
        <v>5687</v>
      </c>
    </row>
    <row r="5809" spans="1:3" x14ac:dyDescent="0.25">
      <c r="A5809" t="str">
        <f>"0611862463050"</f>
        <v>0611862463050</v>
      </c>
      <c r="B5809" t="str">
        <f>"CR2346"</f>
        <v>CR2346</v>
      </c>
      <c r="C5809" t="s">
        <v>5689</v>
      </c>
    </row>
    <row r="5810" spans="1:3" x14ac:dyDescent="0.25">
      <c r="A5810" t="str">
        <f>"0611834755100"</f>
        <v>0611834755100</v>
      </c>
      <c r="B5810" t="str">
        <f>"LH4300"</f>
        <v>LH4300</v>
      </c>
      <c r="C5810" t="s">
        <v>5688</v>
      </c>
    </row>
    <row r="5811" spans="1:3" x14ac:dyDescent="0.25">
      <c r="A5811" t="str">
        <f>"0611834756025"</f>
        <v>0611834756025</v>
      </c>
      <c r="B5811" t="str">
        <f>"MC2282"</f>
        <v>MC2282</v>
      </c>
      <c r="C5811" t="s">
        <v>5690</v>
      </c>
    </row>
    <row r="5812" spans="1:3" x14ac:dyDescent="0.25">
      <c r="A5812" t="str">
        <f>"0611833097100"</f>
        <v>0611833097100</v>
      </c>
      <c r="B5812" t="str">
        <f>"LB9478"</f>
        <v>LB9478</v>
      </c>
      <c r="C5812" t="s">
        <v>5691</v>
      </c>
    </row>
    <row r="5813" spans="1:3" x14ac:dyDescent="0.25">
      <c r="A5813" t="str">
        <f>"0611834758100"</f>
        <v>0611834758100</v>
      </c>
      <c r="B5813" t="str">
        <f>"LK5780"</f>
        <v>LK5780</v>
      </c>
      <c r="C5813" t="s">
        <v>5692</v>
      </c>
    </row>
    <row r="5814" spans="1:3" x14ac:dyDescent="0.25">
      <c r="A5814" t="str">
        <f>"0611834759100"</f>
        <v>0611834759100</v>
      </c>
      <c r="B5814" t="str">
        <f>"LB3076"</f>
        <v>LB3076</v>
      </c>
      <c r="C5814" t="s">
        <v>5693</v>
      </c>
    </row>
    <row r="5815" spans="1:3" x14ac:dyDescent="0.25">
      <c r="A5815" t="str">
        <f>"0611834760100"</f>
        <v>0611834760100</v>
      </c>
      <c r="B5815" t="str">
        <f>"LB3058"</f>
        <v>LB3058</v>
      </c>
      <c r="C5815" t="s">
        <v>5694</v>
      </c>
    </row>
    <row r="5816" spans="1:3" x14ac:dyDescent="0.25">
      <c r="A5816" t="str">
        <f>"0611834761100"</f>
        <v>0611834761100</v>
      </c>
      <c r="B5816" t="str">
        <f>"LK5781"</f>
        <v>LK5781</v>
      </c>
      <c r="C5816" t="s">
        <v>5695</v>
      </c>
    </row>
    <row r="5817" spans="1:3" x14ac:dyDescent="0.25">
      <c r="A5817" t="str">
        <f>"0611834762100"</f>
        <v>0611834762100</v>
      </c>
      <c r="B5817" t="str">
        <f>"LK4311"</f>
        <v>LK4311</v>
      </c>
      <c r="C5817" t="s">
        <v>5696</v>
      </c>
    </row>
    <row r="5818" spans="1:3" x14ac:dyDescent="0.25">
      <c r="A5818" t="str">
        <f>"0611834767100"</f>
        <v>0611834767100</v>
      </c>
      <c r="B5818" t="str">
        <f>"LK0183"</f>
        <v>LK0183</v>
      </c>
      <c r="C5818" t="s">
        <v>5701</v>
      </c>
    </row>
    <row r="5819" spans="1:3" x14ac:dyDescent="0.25">
      <c r="A5819" t="str">
        <f>"0611834763100"</f>
        <v>0611834763100</v>
      </c>
      <c r="B5819" t="str">
        <f>"LB3130"</f>
        <v>LB3130</v>
      </c>
      <c r="C5819" t="s">
        <v>5697</v>
      </c>
    </row>
    <row r="5820" spans="1:3" x14ac:dyDescent="0.25">
      <c r="A5820" t="str">
        <f>"0611834764100"</f>
        <v>0611834764100</v>
      </c>
      <c r="B5820" t="str">
        <f>"LB3131"</f>
        <v>LB3131</v>
      </c>
      <c r="C5820" t="s">
        <v>5698</v>
      </c>
    </row>
    <row r="5821" spans="1:3" x14ac:dyDescent="0.25">
      <c r="A5821" t="str">
        <f>"0611834765100"</f>
        <v>0611834765100</v>
      </c>
      <c r="B5821" t="str">
        <f>"LB3132"</f>
        <v>LB3132</v>
      </c>
      <c r="C5821" t="s">
        <v>5699</v>
      </c>
    </row>
    <row r="5822" spans="1:3" x14ac:dyDescent="0.25">
      <c r="A5822" t="str">
        <f>"0611834766100"</f>
        <v>0611834766100</v>
      </c>
      <c r="B5822" t="str">
        <f>"LB3133"</f>
        <v>LB3133</v>
      </c>
      <c r="C5822" t="s">
        <v>5700</v>
      </c>
    </row>
    <row r="5823" spans="1:3" x14ac:dyDescent="0.25">
      <c r="A5823" t="str">
        <f>"0611834768100"</f>
        <v>0611834768100</v>
      </c>
      <c r="B5823" t="str">
        <f>"LK4312"</f>
        <v>LK4312</v>
      </c>
      <c r="C5823" t="s">
        <v>5702</v>
      </c>
    </row>
    <row r="5824" spans="1:3" x14ac:dyDescent="0.25">
      <c r="A5824" t="str">
        <f>"0611834769100"</f>
        <v>0611834769100</v>
      </c>
      <c r="B5824" t="str">
        <f>"LB3071"</f>
        <v>LB3071</v>
      </c>
      <c r="C5824" t="s">
        <v>5703</v>
      </c>
    </row>
    <row r="5825" spans="1:3" x14ac:dyDescent="0.25">
      <c r="A5825" t="str">
        <f>"0611834770100"</f>
        <v>0611834770100</v>
      </c>
      <c r="B5825" t="str">
        <f>"LK6073"</f>
        <v>LK6073</v>
      </c>
      <c r="C5825" t="s">
        <v>5704</v>
      </c>
    </row>
    <row r="5826" spans="1:3" x14ac:dyDescent="0.25">
      <c r="A5826" t="str">
        <f>"0611834771100"</f>
        <v>0611834771100</v>
      </c>
      <c r="B5826" t="str">
        <f>"LK6074"</f>
        <v>LK6074</v>
      </c>
      <c r="C5826" t="s">
        <v>5705</v>
      </c>
    </row>
    <row r="5827" spans="1:3" x14ac:dyDescent="0.25">
      <c r="A5827" t="str">
        <f>"0611834772100"</f>
        <v>0611834772100</v>
      </c>
      <c r="B5827" t="str">
        <f>"LK6076"</f>
        <v>LK6076</v>
      </c>
      <c r="C5827" t="s">
        <v>5706</v>
      </c>
    </row>
    <row r="5828" spans="1:3" x14ac:dyDescent="0.25">
      <c r="A5828" t="str">
        <f>"0611834773100"</f>
        <v>0611834773100</v>
      </c>
      <c r="B5828" t="str">
        <f>"LK6077"</f>
        <v>LK6077</v>
      </c>
      <c r="C5828" t="s">
        <v>5707</v>
      </c>
    </row>
    <row r="5829" spans="1:3" x14ac:dyDescent="0.25">
      <c r="A5829" t="str">
        <f>"0611834774100"</f>
        <v>0611834774100</v>
      </c>
      <c r="B5829" t="str">
        <f>"LK6078"</f>
        <v>LK6078</v>
      </c>
      <c r="C5829" t="s">
        <v>5708</v>
      </c>
    </row>
    <row r="5830" spans="1:3" x14ac:dyDescent="0.25">
      <c r="A5830" t="str">
        <f>"0611834775100"</f>
        <v>0611834775100</v>
      </c>
      <c r="B5830" t="str">
        <f>"LK6079"</f>
        <v>LK6079</v>
      </c>
      <c r="C5830" t="s">
        <v>5709</v>
      </c>
    </row>
    <row r="5831" spans="1:3" x14ac:dyDescent="0.25">
      <c r="A5831" t="str">
        <f>"0611834776100"</f>
        <v>0611834776100</v>
      </c>
      <c r="B5831" t="str">
        <f>"LB3072"</f>
        <v>LB3072</v>
      </c>
      <c r="C5831" t="s">
        <v>5710</v>
      </c>
    </row>
    <row r="5832" spans="1:3" x14ac:dyDescent="0.25">
      <c r="A5832" t="str">
        <f>"0611834777100"</f>
        <v>0611834777100</v>
      </c>
      <c r="B5832" t="str">
        <f>"LB3075"</f>
        <v>LB3075</v>
      </c>
      <c r="C5832" t="s">
        <v>5711</v>
      </c>
    </row>
    <row r="5833" spans="1:3" x14ac:dyDescent="0.25">
      <c r="A5833" t="str">
        <f>"0611834778100"</f>
        <v>0611834778100</v>
      </c>
      <c r="B5833" t="str">
        <f>"LK5266"</f>
        <v>LK5266</v>
      </c>
      <c r="C5833" t="s">
        <v>5712</v>
      </c>
    </row>
    <row r="5834" spans="1:3" x14ac:dyDescent="0.25">
      <c r="A5834" t="str">
        <f>"0611834779100"</f>
        <v>0611834779100</v>
      </c>
      <c r="B5834" t="str">
        <f>"LK5267"</f>
        <v>LK5267</v>
      </c>
      <c r="C5834" t="s">
        <v>5713</v>
      </c>
    </row>
    <row r="5835" spans="1:3" x14ac:dyDescent="0.25">
      <c r="A5835" t="str">
        <f>"0611833581100"</f>
        <v>0611833581100</v>
      </c>
      <c r="B5835" t="str">
        <f>"LL3833"</f>
        <v>LL3833</v>
      </c>
      <c r="C5835" t="s">
        <v>5714</v>
      </c>
    </row>
    <row r="5836" spans="1:3" x14ac:dyDescent="0.25">
      <c r="A5836" t="str">
        <f>"0611834780100"</f>
        <v>0611834780100</v>
      </c>
      <c r="B5836" t="str">
        <f>"LF0018"</f>
        <v>LF0018</v>
      </c>
      <c r="C5836" t="s">
        <v>5715</v>
      </c>
    </row>
    <row r="5837" spans="1:3" x14ac:dyDescent="0.25">
      <c r="A5837" t="str">
        <f>"0611834781100"</f>
        <v>0611834781100</v>
      </c>
      <c r="B5837" t="str">
        <f>"LF0011"</f>
        <v>LF0011</v>
      </c>
      <c r="C5837" t="s">
        <v>5716</v>
      </c>
    </row>
    <row r="5838" spans="1:3" x14ac:dyDescent="0.25">
      <c r="A5838" t="str">
        <f>"0611834782100"</f>
        <v>0611834782100</v>
      </c>
      <c r="B5838" t="str">
        <f>"LF0012"</f>
        <v>LF0012</v>
      </c>
      <c r="C5838" t="s">
        <v>5717</v>
      </c>
    </row>
    <row r="5839" spans="1:3" x14ac:dyDescent="0.25">
      <c r="A5839" t="str">
        <f>"0611884241100"</f>
        <v>0611884241100</v>
      </c>
      <c r="B5839" t="str">
        <f>"CN2121"</f>
        <v>CN2121</v>
      </c>
      <c r="C5839" t="s">
        <v>5718</v>
      </c>
    </row>
    <row r="5840" spans="1:3" x14ac:dyDescent="0.25">
      <c r="A5840" t="str">
        <f>"0611862465100"</f>
        <v>0611862465100</v>
      </c>
      <c r="B5840" t="str">
        <f>"CN2122"</f>
        <v>CN2122</v>
      </c>
      <c r="C5840" t="s">
        <v>5719</v>
      </c>
    </row>
    <row r="5841" spans="1:3" x14ac:dyDescent="0.25">
      <c r="A5841" t="str">
        <f>"0611834825100"</f>
        <v>0611834825100</v>
      </c>
      <c r="B5841" t="str">
        <f>"LF3077"</f>
        <v>LF3077</v>
      </c>
      <c r="C5841" t="s">
        <v>5720</v>
      </c>
    </row>
    <row r="5842" spans="1:3" x14ac:dyDescent="0.25">
      <c r="A5842" t="str">
        <f>"0611834826025"</f>
        <v>0611834826025</v>
      </c>
      <c r="B5842" t="str">
        <f>"MC0317"</f>
        <v>MC0317</v>
      </c>
      <c r="C5842" t="s">
        <v>5721</v>
      </c>
    </row>
    <row r="5843" spans="1:3" x14ac:dyDescent="0.25">
      <c r="A5843" t="str">
        <f>"0611834827100"</f>
        <v>0611834827100</v>
      </c>
      <c r="B5843" t="str">
        <f>"LH0005"</f>
        <v>LH0005</v>
      </c>
      <c r="C5843" t="s">
        <v>5722</v>
      </c>
    </row>
    <row r="5844" spans="1:3" x14ac:dyDescent="0.25">
      <c r="A5844" t="str">
        <f>"0611834828100"</f>
        <v>0611834828100</v>
      </c>
      <c r="B5844" t="str">
        <f>"LH8954"</f>
        <v>LH8954</v>
      </c>
      <c r="C5844" t="s">
        <v>5723</v>
      </c>
    </row>
    <row r="5845" spans="1:3" x14ac:dyDescent="0.25">
      <c r="A5845" t="str">
        <f>"0611834829025"</f>
        <v>0611834829025</v>
      </c>
      <c r="B5845" t="str">
        <f>"MC1543"</f>
        <v>MC1543</v>
      </c>
      <c r="C5845" t="s">
        <v>5724</v>
      </c>
    </row>
    <row r="5846" spans="1:3" x14ac:dyDescent="0.25">
      <c r="A5846" t="str">
        <f>"0611834830025"</f>
        <v>0611834830025</v>
      </c>
      <c r="B5846" t="str">
        <f>"MQ5109"</f>
        <v>MQ5109</v>
      </c>
      <c r="C5846" t="s">
        <v>5725</v>
      </c>
    </row>
    <row r="5847" spans="1:3" x14ac:dyDescent="0.25">
      <c r="A5847" t="str">
        <f>"0611834831025"</f>
        <v>0611834831025</v>
      </c>
      <c r="B5847" t="str">
        <f>"MC3419"</f>
        <v>MC3419</v>
      </c>
      <c r="C5847" t="s">
        <v>5726</v>
      </c>
    </row>
    <row r="5848" spans="1:3" x14ac:dyDescent="0.25">
      <c r="A5848" t="str">
        <f>"0611834832025"</f>
        <v>0611834832025</v>
      </c>
      <c r="B5848" t="str">
        <f>"MC3353"</f>
        <v>MC3353</v>
      </c>
      <c r="C5848" t="s">
        <v>5727</v>
      </c>
    </row>
    <row r="5849" spans="1:3" x14ac:dyDescent="0.25">
      <c r="A5849" t="str">
        <f>"0611834833100"</f>
        <v>0611834833100</v>
      </c>
      <c r="B5849" t="str">
        <f>"LB0891"</f>
        <v>LB0891</v>
      </c>
      <c r="C5849" t="s">
        <v>5728</v>
      </c>
    </row>
    <row r="5850" spans="1:3" x14ac:dyDescent="0.25">
      <c r="A5850" t="str">
        <f>"0611834834100"</f>
        <v>0611834834100</v>
      </c>
      <c r="B5850" t="str">
        <f>"LK1185"</f>
        <v>LK1185</v>
      </c>
      <c r="C5850" t="s">
        <v>5729</v>
      </c>
    </row>
    <row r="5851" spans="1:3" x14ac:dyDescent="0.25">
      <c r="A5851" t="str">
        <f>"0611834835100"</f>
        <v>0611834835100</v>
      </c>
      <c r="B5851" t="str">
        <f>"LK5430"</f>
        <v>LK5430</v>
      </c>
      <c r="C5851" t="s">
        <v>5730</v>
      </c>
    </row>
    <row r="5852" spans="1:3" x14ac:dyDescent="0.25">
      <c r="A5852" t="str">
        <f>"0611834836025"</f>
        <v>0611834836025</v>
      </c>
      <c r="B5852" t="str">
        <f>"MC3563"</f>
        <v>MC3563</v>
      </c>
      <c r="C5852" t="s">
        <v>5731</v>
      </c>
    </row>
    <row r="5853" spans="1:3" x14ac:dyDescent="0.25">
      <c r="A5853" t="str">
        <f>"0611834837100"</f>
        <v>0611834837100</v>
      </c>
      <c r="B5853" t="str">
        <f>"LH4340"</f>
        <v>LH4340</v>
      </c>
      <c r="C5853" t="s">
        <v>5733</v>
      </c>
    </row>
    <row r="5854" spans="1:3" x14ac:dyDescent="0.25">
      <c r="A5854" t="str">
        <f>"0611834839025"</f>
        <v>0611834839025</v>
      </c>
      <c r="B5854" t="str">
        <f>"MC0316"</f>
        <v>MC0316</v>
      </c>
      <c r="C5854" t="s">
        <v>5734</v>
      </c>
    </row>
    <row r="5855" spans="1:3" x14ac:dyDescent="0.25">
      <c r="A5855" t="str">
        <f>"0611884242025"</f>
        <v>0611884242025</v>
      </c>
      <c r="B5855" t="str">
        <f>"MC4522"</f>
        <v>MC4522</v>
      </c>
      <c r="C5855" t="s">
        <v>5732</v>
      </c>
    </row>
    <row r="5856" spans="1:3" x14ac:dyDescent="0.25">
      <c r="A5856" t="str">
        <f>"0611834840025"</f>
        <v>0611834840025</v>
      </c>
      <c r="B5856" t="str">
        <f>"MC4204"</f>
        <v>MC4204</v>
      </c>
      <c r="C5856" t="s">
        <v>5735</v>
      </c>
    </row>
    <row r="5857" spans="1:3" x14ac:dyDescent="0.25">
      <c r="A5857" t="str">
        <f>"0611834841025"</f>
        <v>0611834841025</v>
      </c>
      <c r="B5857" t="str">
        <f>"MC1180"</f>
        <v>MC1180</v>
      </c>
      <c r="C5857" t="s">
        <v>5736</v>
      </c>
    </row>
    <row r="5858" spans="1:3" x14ac:dyDescent="0.25">
      <c r="A5858" t="str">
        <f>"0611515686100"</f>
        <v>0611515686100</v>
      </c>
      <c r="B5858" t="str">
        <f>""</f>
        <v/>
      </c>
      <c r="C5858" t="s">
        <v>13867</v>
      </c>
    </row>
    <row r="5859" spans="1:3" x14ac:dyDescent="0.25">
      <c r="A5859" t="str">
        <f>"0611862466100"</f>
        <v>0611862466100</v>
      </c>
      <c r="B5859" t="str">
        <f>"CN2124"</f>
        <v>CN2124</v>
      </c>
      <c r="C5859" t="s">
        <v>5737</v>
      </c>
    </row>
    <row r="5860" spans="1:3" x14ac:dyDescent="0.25">
      <c r="A5860" t="str">
        <f>"0611862467100"</f>
        <v>0611862467100</v>
      </c>
      <c r="B5860" t="str">
        <f>"CN2125"</f>
        <v>CN2125</v>
      </c>
      <c r="C5860" t="s">
        <v>5738</v>
      </c>
    </row>
    <row r="5861" spans="1:3" x14ac:dyDescent="0.25">
      <c r="A5861" t="str">
        <f>"0611862468100"</f>
        <v>0611862468100</v>
      </c>
      <c r="B5861" t="str">
        <f>"CN2126"</f>
        <v>CN2126</v>
      </c>
      <c r="C5861" t="s">
        <v>5739</v>
      </c>
    </row>
    <row r="5862" spans="1:3" x14ac:dyDescent="0.25">
      <c r="A5862" t="str">
        <f>"0611862469100"</f>
        <v>0611862469100</v>
      </c>
      <c r="B5862" t="str">
        <f>"CN2127"</f>
        <v>CN2127</v>
      </c>
      <c r="C5862" t="s">
        <v>5740</v>
      </c>
    </row>
    <row r="5863" spans="1:3" x14ac:dyDescent="0.25">
      <c r="A5863" t="str">
        <f>"0611862470100"</f>
        <v>0611862470100</v>
      </c>
      <c r="B5863" t="str">
        <f>"CN2132"</f>
        <v>CN2132</v>
      </c>
      <c r="C5863" t="s">
        <v>5741</v>
      </c>
    </row>
    <row r="5864" spans="1:3" x14ac:dyDescent="0.25">
      <c r="A5864" t="str">
        <f>"0611862471100"</f>
        <v>0611862471100</v>
      </c>
      <c r="B5864" t="str">
        <f>"CN2134"</f>
        <v>CN2134</v>
      </c>
      <c r="C5864" t="s">
        <v>5742</v>
      </c>
    </row>
    <row r="5865" spans="1:3" x14ac:dyDescent="0.25">
      <c r="A5865" t="str">
        <f>"0611862472100"</f>
        <v>0611862472100</v>
      </c>
      <c r="B5865" t="str">
        <f>"CN2128"</f>
        <v>CN2128</v>
      </c>
      <c r="C5865" t="s">
        <v>5743</v>
      </c>
    </row>
    <row r="5866" spans="1:3" x14ac:dyDescent="0.25">
      <c r="A5866" t="str">
        <f>"0611862473100"</f>
        <v>0611862473100</v>
      </c>
      <c r="B5866" t="str">
        <f>"CN2133"</f>
        <v>CN2133</v>
      </c>
      <c r="C5866" t="s">
        <v>5744</v>
      </c>
    </row>
    <row r="5867" spans="1:3" x14ac:dyDescent="0.25">
      <c r="A5867" t="str">
        <f>"0611862474100"</f>
        <v>0611862474100</v>
      </c>
      <c r="B5867" t="str">
        <f>"CN2129"</f>
        <v>CN2129</v>
      </c>
      <c r="C5867" t="s">
        <v>5745</v>
      </c>
    </row>
    <row r="5868" spans="1:3" x14ac:dyDescent="0.25">
      <c r="A5868" t="str">
        <f>"0611862475100"</f>
        <v>0611862475100</v>
      </c>
      <c r="B5868" t="str">
        <f>"CN2130"</f>
        <v>CN2130</v>
      </c>
      <c r="C5868" t="s">
        <v>5746</v>
      </c>
    </row>
    <row r="5869" spans="1:3" x14ac:dyDescent="0.25">
      <c r="A5869" t="str">
        <f>"0611862476100"</f>
        <v>0611862476100</v>
      </c>
      <c r="B5869" t="str">
        <f>"CN2131"</f>
        <v>CN2131</v>
      </c>
      <c r="C5869" t="s">
        <v>5747</v>
      </c>
    </row>
    <row r="5870" spans="1:3" x14ac:dyDescent="0.25">
      <c r="A5870" t="str">
        <f>"0611862477100"</f>
        <v>0611862477100</v>
      </c>
      <c r="B5870" t="str">
        <f>"CN2135"</f>
        <v>CN2135</v>
      </c>
      <c r="C5870" t="s">
        <v>5748</v>
      </c>
    </row>
    <row r="5871" spans="1:3" x14ac:dyDescent="0.25">
      <c r="A5871" t="str">
        <f>"0611834843100"</f>
        <v>0611834843100</v>
      </c>
      <c r="B5871" t="str">
        <f>"LG1001"</f>
        <v>LG1001</v>
      </c>
      <c r="C5871" t="s">
        <v>5750</v>
      </c>
    </row>
    <row r="5872" spans="1:3" x14ac:dyDescent="0.25">
      <c r="A5872" t="str">
        <f>"0611862478100"</f>
        <v>0611862478100</v>
      </c>
      <c r="B5872" t="str">
        <f>"CN2138"</f>
        <v>CN2138</v>
      </c>
      <c r="C5872" t="s">
        <v>5749</v>
      </c>
    </row>
    <row r="5873" spans="1:3" x14ac:dyDescent="0.25">
      <c r="A5873" t="str">
        <f>"0611862479100"</f>
        <v>0611862479100</v>
      </c>
      <c r="B5873" t="str">
        <f>"CN2139"</f>
        <v>CN2139</v>
      </c>
      <c r="C5873" t="s">
        <v>5751</v>
      </c>
    </row>
    <row r="5874" spans="1:3" x14ac:dyDescent="0.25">
      <c r="A5874" t="str">
        <f>"0611862480100"</f>
        <v>0611862480100</v>
      </c>
      <c r="B5874" t="str">
        <f>"CN2140"</f>
        <v>CN2140</v>
      </c>
      <c r="C5874" t="s">
        <v>5752</v>
      </c>
    </row>
    <row r="5875" spans="1:3" x14ac:dyDescent="0.25">
      <c r="A5875" t="str">
        <f>"0611862481100"</f>
        <v>0611862481100</v>
      </c>
      <c r="B5875" t="str">
        <f>"CN2141"</f>
        <v>CN2141</v>
      </c>
      <c r="C5875" t="s">
        <v>5753</v>
      </c>
    </row>
    <row r="5876" spans="1:3" x14ac:dyDescent="0.25">
      <c r="A5876" t="str">
        <f>"0611862482100"</f>
        <v>0611862482100</v>
      </c>
      <c r="B5876" t="str">
        <f>"CN2325"</f>
        <v>CN2325</v>
      </c>
      <c r="C5876" t="s">
        <v>5754</v>
      </c>
    </row>
    <row r="5877" spans="1:3" x14ac:dyDescent="0.25">
      <c r="A5877" t="str">
        <f>"0611862483100"</f>
        <v>0611862483100</v>
      </c>
      <c r="B5877" t="str">
        <f>"CN2145"</f>
        <v>CN2145</v>
      </c>
      <c r="C5877" t="s">
        <v>5755</v>
      </c>
    </row>
    <row r="5878" spans="1:3" x14ac:dyDescent="0.25">
      <c r="A5878" t="str">
        <f>"0611862484100"</f>
        <v>0611862484100</v>
      </c>
      <c r="B5878" t="str">
        <f>"CN2146"</f>
        <v>CN2146</v>
      </c>
      <c r="C5878" t="s">
        <v>5756</v>
      </c>
    </row>
    <row r="5879" spans="1:3" x14ac:dyDescent="0.25">
      <c r="A5879" t="str">
        <f>"0611862485100"</f>
        <v>0611862485100</v>
      </c>
      <c r="B5879" t="str">
        <f>"CN2136"</f>
        <v>CN2136</v>
      </c>
      <c r="C5879" t="s">
        <v>5757</v>
      </c>
    </row>
    <row r="5880" spans="1:3" x14ac:dyDescent="0.25">
      <c r="A5880" t="str">
        <f>"0611862486100"</f>
        <v>0611862486100</v>
      </c>
      <c r="B5880" t="str">
        <f>"CN2147"</f>
        <v>CN2147</v>
      </c>
      <c r="C5880" t="s">
        <v>5758</v>
      </c>
    </row>
    <row r="5881" spans="1:3" x14ac:dyDescent="0.25">
      <c r="A5881" t="str">
        <f>"0611862488100"</f>
        <v>0611862488100</v>
      </c>
      <c r="B5881" t="str">
        <f>"CN2137"</f>
        <v>CN2137</v>
      </c>
      <c r="C5881" t="s">
        <v>5759</v>
      </c>
    </row>
    <row r="5882" spans="1:3" x14ac:dyDescent="0.25">
      <c r="A5882" t="str">
        <f>"0611862489100"</f>
        <v>0611862489100</v>
      </c>
      <c r="B5882" t="str">
        <f>"CN2148"</f>
        <v>CN2148</v>
      </c>
      <c r="C5882" t="s">
        <v>5760</v>
      </c>
    </row>
    <row r="5883" spans="1:3" x14ac:dyDescent="0.25">
      <c r="A5883" t="str">
        <f>"0611862491100"</f>
        <v>0611862491100</v>
      </c>
      <c r="B5883" t="str">
        <f>"CN2150"</f>
        <v>CN2150</v>
      </c>
      <c r="C5883" t="s">
        <v>5761</v>
      </c>
    </row>
    <row r="5884" spans="1:3" x14ac:dyDescent="0.25">
      <c r="A5884" t="str">
        <f>"0611862492100"</f>
        <v>0611862492100</v>
      </c>
      <c r="B5884" t="str">
        <f>"CN2142"</f>
        <v>CN2142</v>
      </c>
      <c r="C5884" t="s">
        <v>5762</v>
      </c>
    </row>
    <row r="5885" spans="1:3" x14ac:dyDescent="0.25">
      <c r="A5885" t="str">
        <f>"0611862493100"</f>
        <v>0611862493100</v>
      </c>
      <c r="B5885" t="str">
        <f>"CN2151"</f>
        <v>CN2151</v>
      </c>
      <c r="C5885" t="s">
        <v>5763</v>
      </c>
    </row>
    <row r="5886" spans="1:3" x14ac:dyDescent="0.25">
      <c r="A5886" t="str">
        <f>"0611862494100"</f>
        <v>0611862494100</v>
      </c>
      <c r="B5886" t="str">
        <f>"CN2143"</f>
        <v>CN2143</v>
      </c>
      <c r="C5886" t="s">
        <v>5764</v>
      </c>
    </row>
    <row r="5887" spans="1:3" x14ac:dyDescent="0.25">
      <c r="A5887" t="str">
        <f>"0611834844100"</f>
        <v>0611834844100</v>
      </c>
      <c r="B5887" t="str">
        <f>"LF5919"</f>
        <v>LF5919</v>
      </c>
      <c r="C5887" t="s">
        <v>5765</v>
      </c>
    </row>
    <row r="5888" spans="1:3" x14ac:dyDescent="0.25">
      <c r="A5888" t="str">
        <f>"0611834845100"</f>
        <v>0611834845100</v>
      </c>
      <c r="B5888" t="str">
        <f>"LK6226"</f>
        <v>LK6226</v>
      </c>
      <c r="C5888" t="s">
        <v>5766</v>
      </c>
    </row>
    <row r="5889" spans="1:3" x14ac:dyDescent="0.25">
      <c r="A5889" t="str">
        <f>"0611906779100"</f>
        <v>0611906779100</v>
      </c>
      <c r="B5889" t="str">
        <f>"LK3217"</f>
        <v>LK3217</v>
      </c>
      <c r="C5889" t="s">
        <v>5767</v>
      </c>
    </row>
    <row r="5890" spans="1:3" x14ac:dyDescent="0.25">
      <c r="A5890" t="str">
        <f>"0611834846100"</f>
        <v>0611834846100</v>
      </c>
      <c r="B5890" t="str">
        <f>"LK3217"</f>
        <v>LK3217</v>
      </c>
      <c r="C5890" t="s">
        <v>5767</v>
      </c>
    </row>
    <row r="5891" spans="1:3" x14ac:dyDescent="0.25">
      <c r="A5891" t="str">
        <f>"0611862498100"</f>
        <v>0611862498100</v>
      </c>
      <c r="B5891" t="str">
        <f>"CN5199"</f>
        <v>CN5199</v>
      </c>
      <c r="C5891" t="s">
        <v>5768</v>
      </c>
    </row>
    <row r="5892" spans="1:3" x14ac:dyDescent="0.25">
      <c r="A5892" t="str">
        <f>"0611834849100"</f>
        <v>0611834849100</v>
      </c>
      <c r="B5892" t="str">
        <f>"LF3134"</f>
        <v>LF3134</v>
      </c>
      <c r="C5892" t="s">
        <v>5769</v>
      </c>
    </row>
    <row r="5893" spans="1:3" x14ac:dyDescent="0.25">
      <c r="A5893" t="str">
        <f>"0611834850100"</f>
        <v>0611834850100</v>
      </c>
      <c r="B5893" t="str">
        <f>"LF3120"</f>
        <v>LF3120</v>
      </c>
      <c r="C5893" t="s">
        <v>5770</v>
      </c>
    </row>
    <row r="5894" spans="1:3" x14ac:dyDescent="0.25">
      <c r="A5894" t="str">
        <f>"0611834851100"</f>
        <v>0611834851100</v>
      </c>
      <c r="B5894" t="str">
        <f>"LF0001"</f>
        <v>LF0001</v>
      </c>
      <c r="C5894" t="s">
        <v>5771</v>
      </c>
    </row>
    <row r="5895" spans="1:3" x14ac:dyDescent="0.25">
      <c r="A5895" t="str">
        <f>"0611834852100"</f>
        <v>0611834852100</v>
      </c>
      <c r="B5895" t="str">
        <f>"LK3183"</f>
        <v>LK3183</v>
      </c>
      <c r="C5895" t="s">
        <v>5772</v>
      </c>
    </row>
    <row r="5896" spans="1:3" x14ac:dyDescent="0.25">
      <c r="A5896" t="str">
        <f>"0611862499100"</f>
        <v>0611862499100</v>
      </c>
      <c r="B5896" t="str">
        <f>"CN5192"</f>
        <v>CN5192</v>
      </c>
      <c r="C5896" t="s">
        <v>5773</v>
      </c>
    </row>
    <row r="5897" spans="1:3" x14ac:dyDescent="0.25">
      <c r="A5897" t="str">
        <f>"0611834854100"</f>
        <v>0611834854100</v>
      </c>
      <c r="B5897" t="str">
        <f>"LF3137"</f>
        <v>LF3137</v>
      </c>
      <c r="C5897" t="s">
        <v>5774</v>
      </c>
    </row>
    <row r="5898" spans="1:3" x14ac:dyDescent="0.25">
      <c r="A5898" t="str">
        <f>"0611834855025"</f>
        <v>0611834855025</v>
      </c>
      <c r="B5898" t="str">
        <f>"MC4205"</f>
        <v>MC4205</v>
      </c>
      <c r="C5898" t="s">
        <v>5775</v>
      </c>
    </row>
    <row r="5899" spans="1:3" x14ac:dyDescent="0.25">
      <c r="A5899" t="str">
        <f>"0611862500050"</f>
        <v>0611862500050</v>
      </c>
      <c r="B5899" t="str">
        <f>"CR4315"</f>
        <v>CR4315</v>
      </c>
      <c r="C5899" t="s">
        <v>5776</v>
      </c>
    </row>
    <row r="5900" spans="1:3" x14ac:dyDescent="0.25">
      <c r="A5900" t="str">
        <f>"0611862501100"</f>
        <v>0611862501100</v>
      </c>
      <c r="B5900" t="str">
        <f>"CN5193"</f>
        <v>CN5193</v>
      </c>
      <c r="C5900" t="s">
        <v>5777</v>
      </c>
    </row>
    <row r="5901" spans="1:3" x14ac:dyDescent="0.25">
      <c r="A5901" t="str">
        <f>"0611834856100"</f>
        <v>0611834856100</v>
      </c>
      <c r="B5901" t="str">
        <f>"LF5920"</f>
        <v>LF5920</v>
      </c>
      <c r="C5901" t="s">
        <v>5778</v>
      </c>
    </row>
    <row r="5902" spans="1:3" x14ac:dyDescent="0.25">
      <c r="A5902" t="str">
        <f>"0611834857025"</f>
        <v>0611834857025</v>
      </c>
      <c r="B5902" t="str">
        <f>"MC4206"</f>
        <v>MC4206</v>
      </c>
      <c r="C5902" t="s">
        <v>5779</v>
      </c>
    </row>
    <row r="5903" spans="1:3" x14ac:dyDescent="0.25">
      <c r="A5903" t="str">
        <f>"0611862502100"</f>
        <v>0611862502100</v>
      </c>
      <c r="B5903" t="str">
        <f>"CN5194"</f>
        <v>CN5194</v>
      </c>
      <c r="C5903" t="s">
        <v>5780</v>
      </c>
    </row>
    <row r="5904" spans="1:3" x14ac:dyDescent="0.25">
      <c r="A5904" t="str">
        <f>"0611834858100"</f>
        <v>0611834858100</v>
      </c>
      <c r="B5904" t="str">
        <f>"LK3187"</f>
        <v>LK3187</v>
      </c>
      <c r="C5904" t="s">
        <v>5781</v>
      </c>
    </row>
    <row r="5905" spans="1:3" x14ac:dyDescent="0.25">
      <c r="A5905" t="str">
        <f>"0611834859100"</f>
        <v>0611834859100</v>
      </c>
      <c r="B5905" t="str">
        <f>"LK2548"</f>
        <v>LK2548</v>
      </c>
      <c r="C5905" t="s">
        <v>5782</v>
      </c>
    </row>
    <row r="5906" spans="1:3" x14ac:dyDescent="0.25">
      <c r="A5906" t="str">
        <f>"0611834860025"</f>
        <v>0611834860025</v>
      </c>
      <c r="B5906" t="str">
        <f>"MC0321"</f>
        <v>MC0321</v>
      </c>
      <c r="C5906" t="s">
        <v>5783</v>
      </c>
    </row>
    <row r="5907" spans="1:3" x14ac:dyDescent="0.25">
      <c r="A5907" t="str">
        <f>"0611834864100"</f>
        <v>0611834864100</v>
      </c>
      <c r="B5907" t="str">
        <f>"LF3129"</f>
        <v>LF3129</v>
      </c>
      <c r="C5907" t="s">
        <v>5784</v>
      </c>
    </row>
    <row r="5908" spans="1:3" x14ac:dyDescent="0.25">
      <c r="A5908" t="str">
        <f>"0611862495100"</f>
        <v>0611862495100</v>
      </c>
      <c r="B5908" t="str">
        <f>"CN5190"</f>
        <v>CN5190</v>
      </c>
      <c r="C5908" t="s">
        <v>5785</v>
      </c>
    </row>
    <row r="5909" spans="1:3" x14ac:dyDescent="0.25">
      <c r="A5909" t="str">
        <f>"0611834847100"</f>
        <v>0611834847100</v>
      </c>
      <c r="B5909" t="str">
        <f>"LH4880"</f>
        <v>LH4880</v>
      </c>
      <c r="C5909" t="s">
        <v>5786</v>
      </c>
    </row>
    <row r="5910" spans="1:3" x14ac:dyDescent="0.25">
      <c r="A5910" t="str">
        <f>"0611834848025"</f>
        <v>0611834848025</v>
      </c>
      <c r="B5910" t="str">
        <f>"MC0319"</f>
        <v>MC0319</v>
      </c>
      <c r="C5910" t="s">
        <v>5787</v>
      </c>
    </row>
    <row r="5911" spans="1:3" x14ac:dyDescent="0.25">
      <c r="A5911" t="str">
        <f>"0611862497050"</f>
        <v>0611862497050</v>
      </c>
      <c r="B5911" t="str">
        <f>"CR4322"</f>
        <v>CR4322</v>
      </c>
      <c r="C5911" t="s">
        <v>5788</v>
      </c>
    </row>
    <row r="5912" spans="1:3" x14ac:dyDescent="0.25">
      <c r="A5912" t="str">
        <f>"0611834865100"</f>
        <v>0611834865100</v>
      </c>
      <c r="B5912" t="str">
        <f>"LS0042"</f>
        <v>LS0042</v>
      </c>
      <c r="C5912" t="s">
        <v>5793</v>
      </c>
    </row>
    <row r="5913" spans="1:3" x14ac:dyDescent="0.25">
      <c r="A5913" t="str">
        <f>"0611862503100"</f>
        <v>0611862503100</v>
      </c>
      <c r="B5913" t="str">
        <f>"CN5191"</f>
        <v>CN5191</v>
      </c>
      <c r="C5913" t="s">
        <v>5789</v>
      </c>
    </row>
    <row r="5914" spans="1:3" x14ac:dyDescent="0.25">
      <c r="A5914" t="str">
        <f>"0611862504050"</f>
        <v>0611862504050</v>
      </c>
      <c r="B5914" t="str">
        <f>"CR3232"</f>
        <v>CR3232</v>
      </c>
      <c r="C5914" t="s">
        <v>5790</v>
      </c>
    </row>
    <row r="5915" spans="1:3" x14ac:dyDescent="0.25">
      <c r="A5915" t="str">
        <f>"0611834862100"</f>
        <v>0611834862100</v>
      </c>
      <c r="B5915" t="str">
        <f>"MB3125"</f>
        <v>MB3125</v>
      </c>
      <c r="C5915" t="s">
        <v>5791</v>
      </c>
    </row>
    <row r="5916" spans="1:3" x14ac:dyDescent="0.25">
      <c r="A5916" t="str">
        <f>"0611906780100"</f>
        <v>0611906780100</v>
      </c>
      <c r="B5916" t="str">
        <f>"MB3125"</f>
        <v>MB3125</v>
      </c>
      <c r="C5916" t="s">
        <v>5791</v>
      </c>
    </row>
    <row r="5917" spans="1:3" x14ac:dyDescent="0.25">
      <c r="A5917" t="str">
        <f>"0611834863100"</f>
        <v>0611834863100</v>
      </c>
      <c r="B5917" t="str">
        <f>"LF3125"</f>
        <v>LF3125</v>
      </c>
      <c r="C5917" t="s">
        <v>5792</v>
      </c>
    </row>
    <row r="5918" spans="1:3" x14ac:dyDescent="0.25">
      <c r="A5918" t="str">
        <f>"0611862505100"</f>
        <v>0611862505100</v>
      </c>
      <c r="B5918" t="str">
        <f>"CN5195"</f>
        <v>CN5195</v>
      </c>
      <c r="C5918" t="s">
        <v>5794</v>
      </c>
    </row>
    <row r="5919" spans="1:3" x14ac:dyDescent="0.25">
      <c r="A5919" t="str">
        <f>"0611834866100"</f>
        <v>0611834866100</v>
      </c>
      <c r="B5919" t="str">
        <f>"LK3197"</f>
        <v>LK3197</v>
      </c>
      <c r="C5919" t="s">
        <v>5795</v>
      </c>
    </row>
    <row r="5920" spans="1:3" x14ac:dyDescent="0.25">
      <c r="A5920" t="str">
        <f>"0611834867100"</f>
        <v>0611834867100</v>
      </c>
      <c r="B5920" t="str">
        <f>"LH4991"</f>
        <v>LH4991</v>
      </c>
      <c r="C5920" t="s">
        <v>5796</v>
      </c>
    </row>
    <row r="5921" spans="1:3" x14ac:dyDescent="0.25">
      <c r="A5921" t="str">
        <f>"0611893603100"</f>
        <v>0611893603100</v>
      </c>
      <c r="B5921" t="str">
        <f>"CN5196"</f>
        <v>CN5196</v>
      </c>
      <c r="C5921" t="s">
        <v>5797</v>
      </c>
    </row>
    <row r="5922" spans="1:3" x14ac:dyDescent="0.25">
      <c r="A5922" t="str">
        <f>"0611862506100"</f>
        <v>0611862506100</v>
      </c>
      <c r="B5922" t="str">
        <f>"CN5196"</f>
        <v>CN5196</v>
      </c>
      <c r="C5922" t="s">
        <v>13868</v>
      </c>
    </row>
    <row r="5923" spans="1:3" x14ac:dyDescent="0.25">
      <c r="A5923" t="str">
        <f>"0611834868100"</f>
        <v>0611834868100</v>
      </c>
      <c r="B5923" t="str">
        <f>"LK3200"</f>
        <v>LK3200</v>
      </c>
      <c r="C5923" t="s">
        <v>5798</v>
      </c>
    </row>
    <row r="5924" spans="1:3" x14ac:dyDescent="0.25">
      <c r="A5924" t="str">
        <f>"0611862508100"</f>
        <v>0611862508100</v>
      </c>
      <c r="B5924" t="str">
        <f>"CN5197"</f>
        <v>CN5197</v>
      </c>
      <c r="C5924" t="s">
        <v>5799</v>
      </c>
    </row>
    <row r="5925" spans="1:3" x14ac:dyDescent="0.25">
      <c r="A5925" t="str">
        <f>"0611834869100"</f>
        <v>0611834869100</v>
      </c>
      <c r="B5925" t="str">
        <f>"LF0003"</f>
        <v>LF0003</v>
      </c>
      <c r="C5925" t="s">
        <v>5800</v>
      </c>
    </row>
    <row r="5926" spans="1:3" x14ac:dyDescent="0.25">
      <c r="A5926" t="str">
        <f>"0611862509100"</f>
        <v>0611862509100</v>
      </c>
      <c r="B5926" t="str">
        <f>"CN5198"</f>
        <v>CN5198</v>
      </c>
      <c r="C5926" t="s">
        <v>5801</v>
      </c>
    </row>
    <row r="5927" spans="1:3" x14ac:dyDescent="0.25">
      <c r="A5927" t="str">
        <f>"0611834870025"</f>
        <v>0611834870025</v>
      </c>
      <c r="B5927" t="str">
        <f>"MC0320"</f>
        <v>MC0320</v>
      </c>
      <c r="C5927" t="s">
        <v>5802</v>
      </c>
    </row>
    <row r="5928" spans="1:3" x14ac:dyDescent="0.25">
      <c r="A5928" t="str">
        <f>"0611834871100"</f>
        <v>0611834871100</v>
      </c>
      <c r="B5928" t="str">
        <f>"LF3121"</f>
        <v>LF3121</v>
      </c>
      <c r="C5928" t="s">
        <v>5803</v>
      </c>
    </row>
    <row r="5929" spans="1:3" x14ac:dyDescent="0.25">
      <c r="A5929" t="str">
        <f>"0611834872100"</f>
        <v>0611834872100</v>
      </c>
      <c r="B5929" t="str">
        <f>"LK3263"</f>
        <v>LK3263</v>
      </c>
      <c r="C5929" t="s">
        <v>5804</v>
      </c>
    </row>
    <row r="5930" spans="1:3" x14ac:dyDescent="0.25">
      <c r="A5930" t="str">
        <f>"0611834873100"</f>
        <v>0611834873100</v>
      </c>
      <c r="B5930" t="str">
        <f>"LF0004"</f>
        <v>LF0004</v>
      </c>
      <c r="C5930" t="s">
        <v>5805</v>
      </c>
    </row>
    <row r="5931" spans="1:3" x14ac:dyDescent="0.25">
      <c r="A5931" t="str">
        <f>"0611834874100"</f>
        <v>0611834874100</v>
      </c>
      <c r="B5931" t="str">
        <f>"LK3207"</f>
        <v>LK3207</v>
      </c>
      <c r="C5931" t="s">
        <v>5806</v>
      </c>
    </row>
    <row r="5932" spans="1:3" x14ac:dyDescent="0.25">
      <c r="A5932" t="str">
        <f>"0611834875025"</f>
        <v>0611834875025</v>
      </c>
      <c r="B5932" t="str">
        <f>"MC4207"</f>
        <v>MC4207</v>
      </c>
      <c r="C5932" t="s">
        <v>5807</v>
      </c>
    </row>
    <row r="5933" spans="1:3" x14ac:dyDescent="0.25">
      <c r="A5933" t="str">
        <f>"0611862511050"</f>
        <v>0611862511050</v>
      </c>
      <c r="B5933" t="str">
        <f>"CE0785"</f>
        <v>CE0785</v>
      </c>
      <c r="C5933" t="s">
        <v>5808</v>
      </c>
    </row>
    <row r="5934" spans="1:3" x14ac:dyDescent="0.25">
      <c r="A5934" t="str">
        <f>"0611834876025"</f>
        <v>0611834876025</v>
      </c>
      <c r="B5934" t="str">
        <f>"MC2662"</f>
        <v>MC2662</v>
      </c>
      <c r="C5934" t="s">
        <v>5809</v>
      </c>
    </row>
    <row r="5935" spans="1:3" x14ac:dyDescent="0.25">
      <c r="A5935" t="str">
        <f>"0611834877025"</f>
        <v>0611834877025</v>
      </c>
      <c r="B5935" t="str">
        <f>"MQ6034"</f>
        <v>MQ6034</v>
      </c>
      <c r="C5935" t="s">
        <v>5810</v>
      </c>
    </row>
    <row r="5936" spans="1:3" x14ac:dyDescent="0.25">
      <c r="A5936" t="str">
        <f>"0611834878025"</f>
        <v>0611834878025</v>
      </c>
      <c r="B5936" t="str">
        <f>"MQ6035"</f>
        <v>MQ6035</v>
      </c>
      <c r="C5936" t="s">
        <v>5811</v>
      </c>
    </row>
    <row r="5937" spans="1:3" x14ac:dyDescent="0.25">
      <c r="A5937" t="str">
        <f>"0611834879025"</f>
        <v>0611834879025</v>
      </c>
      <c r="B5937" t="str">
        <f>"MQ6036"</f>
        <v>MQ6036</v>
      </c>
      <c r="C5937" t="s">
        <v>5812</v>
      </c>
    </row>
    <row r="5938" spans="1:3" x14ac:dyDescent="0.25">
      <c r="A5938" t="str">
        <f>"0611834880025"</f>
        <v>0611834880025</v>
      </c>
      <c r="B5938" t="str">
        <f>"MQ6037"</f>
        <v>MQ6037</v>
      </c>
      <c r="C5938" t="s">
        <v>5813</v>
      </c>
    </row>
    <row r="5939" spans="1:3" x14ac:dyDescent="0.25">
      <c r="A5939" t="str">
        <f>"0611834881025"</f>
        <v>0611834881025</v>
      </c>
      <c r="B5939" t="str">
        <f>"MQ6038"</f>
        <v>MQ6038</v>
      </c>
      <c r="C5939" t="s">
        <v>5814</v>
      </c>
    </row>
    <row r="5940" spans="1:3" x14ac:dyDescent="0.25">
      <c r="A5940" t="str">
        <f>"0611834882025"</f>
        <v>0611834882025</v>
      </c>
      <c r="B5940" t="str">
        <f>"MC1665"</f>
        <v>MC1665</v>
      </c>
      <c r="C5940" t="s">
        <v>5815</v>
      </c>
    </row>
    <row r="5941" spans="1:3" x14ac:dyDescent="0.25">
      <c r="A5941" t="str">
        <f>"0611834883025"</f>
        <v>0611834883025</v>
      </c>
      <c r="B5941" t="str">
        <f>"MC3734"</f>
        <v>MC3734</v>
      </c>
      <c r="C5941" t="s">
        <v>5816</v>
      </c>
    </row>
    <row r="5942" spans="1:3" x14ac:dyDescent="0.25">
      <c r="A5942" t="str">
        <f>"0611862512100"</f>
        <v>0611862512100</v>
      </c>
      <c r="B5942" t="str">
        <f>"CN2370"</f>
        <v>CN2370</v>
      </c>
      <c r="C5942" t="s">
        <v>5817</v>
      </c>
    </row>
    <row r="5943" spans="1:3" x14ac:dyDescent="0.25">
      <c r="A5943" t="str">
        <f>"0611834885025"</f>
        <v>0611834885025</v>
      </c>
      <c r="B5943" t="str">
        <f>"MQ0421"</f>
        <v>MQ0421</v>
      </c>
      <c r="C5943" t="s">
        <v>5818</v>
      </c>
    </row>
    <row r="5944" spans="1:3" x14ac:dyDescent="0.25">
      <c r="A5944" t="str">
        <f>"0611862513100"</f>
        <v>0611862513100</v>
      </c>
      <c r="B5944" t="str">
        <f>"CN2371"</f>
        <v>CN2371</v>
      </c>
      <c r="C5944" t="s">
        <v>5819</v>
      </c>
    </row>
    <row r="5945" spans="1:3" x14ac:dyDescent="0.25">
      <c r="A5945" t="str">
        <f>"0611834886025"</f>
        <v>0611834886025</v>
      </c>
      <c r="B5945" t="str">
        <f>"MQ0422"</f>
        <v>MQ0422</v>
      </c>
      <c r="C5945" t="s">
        <v>5820</v>
      </c>
    </row>
    <row r="5946" spans="1:3" x14ac:dyDescent="0.25">
      <c r="A5946" t="str">
        <f>"0611862514100"</f>
        <v>0611862514100</v>
      </c>
      <c r="B5946" t="str">
        <f>"CN2372"</f>
        <v>CN2372</v>
      </c>
      <c r="C5946" t="s">
        <v>5821</v>
      </c>
    </row>
    <row r="5947" spans="1:3" x14ac:dyDescent="0.25">
      <c r="A5947" t="str">
        <f>"0611834887025"</f>
        <v>0611834887025</v>
      </c>
      <c r="B5947" t="str">
        <f>"MQ0423"</f>
        <v>MQ0423</v>
      </c>
      <c r="C5947" t="s">
        <v>5822</v>
      </c>
    </row>
    <row r="5948" spans="1:3" x14ac:dyDescent="0.25">
      <c r="A5948" t="str">
        <f>"0611884243100"</f>
        <v>0611884243100</v>
      </c>
      <c r="B5948" t="str">
        <f>"LK7179"</f>
        <v>LK7179</v>
      </c>
      <c r="C5948" t="s">
        <v>5846</v>
      </c>
    </row>
    <row r="5949" spans="1:3" x14ac:dyDescent="0.25">
      <c r="A5949" t="str">
        <f>"0611906781100"</f>
        <v>0611906781100</v>
      </c>
      <c r="B5949" t="str">
        <f>"LQ6337"</f>
        <v>LQ6337</v>
      </c>
      <c r="C5949" t="s">
        <v>5847</v>
      </c>
    </row>
    <row r="5950" spans="1:3" x14ac:dyDescent="0.25">
      <c r="A5950" t="str">
        <f>"0611906782100"</f>
        <v>0611906782100</v>
      </c>
      <c r="B5950" t="str">
        <f>"LQ6338"</f>
        <v>LQ6338</v>
      </c>
      <c r="C5950" t="s">
        <v>5848</v>
      </c>
    </row>
    <row r="5951" spans="1:3" x14ac:dyDescent="0.25">
      <c r="A5951" t="str">
        <f>"0611906783100"</f>
        <v>0611906783100</v>
      </c>
      <c r="B5951" t="str">
        <f>"LQ6339"</f>
        <v>LQ6339</v>
      </c>
      <c r="C5951" t="s">
        <v>5849</v>
      </c>
    </row>
    <row r="5952" spans="1:3" x14ac:dyDescent="0.25">
      <c r="A5952" t="str">
        <f>"0611906784100"</f>
        <v>0611906784100</v>
      </c>
      <c r="B5952" t="str">
        <f>"LQ6340"</f>
        <v>LQ6340</v>
      </c>
      <c r="C5952" t="s">
        <v>5850</v>
      </c>
    </row>
    <row r="5953" spans="1:3" x14ac:dyDescent="0.25">
      <c r="A5953" t="str">
        <f>"0611862515050"</f>
        <v>0611862515050</v>
      </c>
      <c r="B5953" t="str">
        <f>"CE1148"</f>
        <v>CE1148</v>
      </c>
      <c r="C5953" t="s">
        <v>5855</v>
      </c>
    </row>
    <row r="5954" spans="1:3" x14ac:dyDescent="0.25">
      <c r="A5954" t="str">
        <f>"0611834889100"</f>
        <v>0611834889100</v>
      </c>
      <c r="B5954" t="str">
        <f>"LB9025"</f>
        <v>LB9025</v>
      </c>
      <c r="C5954" t="s">
        <v>5823</v>
      </c>
    </row>
    <row r="5955" spans="1:3" x14ac:dyDescent="0.25">
      <c r="A5955" t="str">
        <f>"0611834890025"</f>
        <v>0611834890025</v>
      </c>
      <c r="B5955" t="str">
        <f>"MC4210"</f>
        <v>MC4210</v>
      </c>
      <c r="C5955" t="s">
        <v>5824</v>
      </c>
    </row>
    <row r="5956" spans="1:3" x14ac:dyDescent="0.25">
      <c r="A5956" t="str">
        <f>"0611834891100"</f>
        <v>0611834891100</v>
      </c>
      <c r="B5956" t="str">
        <f>"LK1772"</f>
        <v>LK1772</v>
      </c>
      <c r="C5956" t="s">
        <v>5825</v>
      </c>
    </row>
    <row r="5957" spans="1:3" x14ac:dyDescent="0.25">
      <c r="A5957" t="str">
        <f>"0611834892025"</f>
        <v>0611834892025</v>
      </c>
      <c r="B5957" t="str">
        <f>"MC3869"</f>
        <v>MC3869</v>
      </c>
      <c r="C5957" t="s">
        <v>5826</v>
      </c>
    </row>
    <row r="5958" spans="1:3" x14ac:dyDescent="0.25">
      <c r="A5958" t="str">
        <f>"0611834893025"</f>
        <v>0611834893025</v>
      </c>
      <c r="B5958" t="str">
        <f>"MQ9012"</f>
        <v>MQ9012</v>
      </c>
      <c r="C5958" t="s">
        <v>5827</v>
      </c>
    </row>
    <row r="5959" spans="1:3" x14ac:dyDescent="0.25">
      <c r="A5959" t="str">
        <f>"0611834894025"</f>
        <v>0611834894025</v>
      </c>
      <c r="B5959" t="str">
        <f>"MC3870"</f>
        <v>MC3870</v>
      </c>
      <c r="C5959" t="s">
        <v>5828</v>
      </c>
    </row>
    <row r="5960" spans="1:3" x14ac:dyDescent="0.25">
      <c r="A5960" t="str">
        <f>"0611834895100"</f>
        <v>0611834895100</v>
      </c>
      <c r="B5960" t="str">
        <f>"LK6459"</f>
        <v>LK6459</v>
      </c>
      <c r="C5960" t="s">
        <v>5829</v>
      </c>
    </row>
    <row r="5961" spans="1:3" x14ac:dyDescent="0.25">
      <c r="A5961" t="str">
        <f>"0611834896100"</f>
        <v>0611834896100</v>
      </c>
      <c r="B5961" t="str">
        <f>"LB3080"</f>
        <v>LB3080</v>
      </c>
      <c r="C5961" t="s">
        <v>5830</v>
      </c>
    </row>
    <row r="5962" spans="1:3" x14ac:dyDescent="0.25">
      <c r="A5962" t="str">
        <f>"0611834897100"</f>
        <v>0611834897100</v>
      </c>
      <c r="B5962" t="str">
        <f>"LK6525"</f>
        <v>LK6525</v>
      </c>
      <c r="C5962" t="s">
        <v>5831</v>
      </c>
    </row>
    <row r="5963" spans="1:3" x14ac:dyDescent="0.25">
      <c r="A5963" t="str">
        <f>"0611834898025"</f>
        <v>0611834898025</v>
      </c>
      <c r="B5963" t="str">
        <f>"MC4209"</f>
        <v>MC4209</v>
      </c>
      <c r="C5963" t="s">
        <v>5832</v>
      </c>
    </row>
    <row r="5964" spans="1:3" x14ac:dyDescent="0.25">
      <c r="A5964" t="str">
        <f>"0611834899025"</f>
        <v>0611834899025</v>
      </c>
      <c r="B5964" t="str">
        <f>"MQ9013"</f>
        <v>MQ9013</v>
      </c>
      <c r="C5964" t="s">
        <v>5833</v>
      </c>
    </row>
    <row r="5965" spans="1:3" x14ac:dyDescent="0.25">
      <c r="A5965" t="str">
        <f>"0611834900100"</f>
        <v>0611834900100</v>
      </c>
      <c r="B5965" t="str">
        <f>"LK3513"</f>
        <v>LK3513</v>
      </c>
      <c r="C5965" t="s">
        <v>5834</v>
      </c>
    </row>
    <row r="5966" spans="1:3" x14ac:dyDescent="0.25">
      <c r="A5966" t="str">
        <f>"0611834901100"</f>
        <v>0611834901100</v>
      </c>
      <c r="B5966" t="str">
        <f>"LK4711"</f>
        <v>LK4711</v>
      </c>
      <c r="C5966" t="s">
        <v>5835</v>
      </c>
    </row>
    <row r="5967" spans="1:3" x14ac:dyDescent="0.25">
      <c r="A5967" t="str">
        <f>"0611834902025"</f>
        <v>0611834902025</v>
      </c>
      <c r="B5967" t="str">
        <f>"MQ9014"</f>
        <v>MQ9014</v>
      </c>
      <c r="C5967" t="s">
        <v>5836</v>
      </c>
    </row>
    <row r="5968" spans="1:3" x14ac:dyDescent="0.25">
      <c r="A5968" t="str">
        <f>"0611834903100"</f>
        <v>0611834903100</v>
      </c>
      <c r="B5968" t="str">
        <f>"LK1175"</f>
        <v>LK1175</v>
      </c>
      <c r="C5968" t="s">
        <v>5837</v>
      </c>
    </row>
    <row r="5969" spans="1:3" x14ac:dyDescent="0.25">
      <c r="A5969" t="str">
        <f>"0611834921100"</f>
        <v>0611834921100</v>
      </c>
      <c r="B5969" t="str">
        <f>"LB8961"</f>
        <v>LB8961</v>
      </c>
      <c r="C5969" t="s">
        <v>5861</v>
      </c>
    </row>
    <row r="5970" spans="1:3" x14ac:dyDescent="0.25">
      <c r="A5970" t="str">
        <f>"0611834922025"</f>
        <v>0611834922025</v>
      </c>
      <c r="B5970" t="str">
        <f>"MC2206"</f>
        <v>MC2206</v>
      </c>
      <c r="C5970" t="s">
        <v>5862</v>
      </c>
    </row>
    <row r="5971" spans="1:3" x14ac:dyDescent="0.25">
      <c r="A5971" t="str">
        <f>"0611834904100"</f>
        <v>0611834904100</v>
      </c>
      <c r="B5971" t="str">
        <f>"LQ3777"</f>
        <v>LQ3777</v>
      </c>
      <c r="C5971" t="s">
        <v>5838</v>
      </c>
    </row>
    <row r="5972" spans="1:3" x14ac:dyDescent="0.25">
      <c r="A5972" t="str">
        <f>"0611834905025"</f>
        <v>0611834905025</v>
      </c>
      <c r="B5972" t="str">
        <f>"MC3871"</f>
        <v>MC3871</v>
      </c>
      <c r="C5972" t="s">
        <v>5839</v>
      </c>
    </row>
    <row r="5973" spans="1:3" x14ac:dyDescent="0.25">
      <c r="A5973" t="str">
        <f>"0611834906100"</f>
        <v>0611834906100</v>
      </c>
      <c r="B5973" t="str">
        <f>"LB9030"</f>
        <v>LB9030</v>
      </c>
      <c r="C5973" t="s">
        <v>5840</v>
      </c>
    </row>
    <row r="5974" spans="1:3" x14ac:dyDescent="0.25">
      <c r="A5974" t="str">
        <f>"0611834907100"</f>
        <v>0611834907100</v>
      </c>
      <c r="B5974" t="str">
        <f>"LK4370"</f>
        <v>LK4370</v>
      </c>
      <c r="C5974" t="s">
        <v>5841</v>
      </c>
    </row>
    <row r="5975" spans="1:3" x14ac:dyDescent="0.25">
      <c r="A5975" t="str">
        <f>"0611834908100"</f>
        <v>0611834908100</v>
      </c>
      <c r="B5975" t="str">
        <f>"LB9022"</f>
        <v>LB9022</v>
      </c>
      <c r="C5975" t="s">
        <v>5842</v>
      </c>
    </row>
    <row r="5976" spans="1:3" x14ac:dyDescent="0.25">
      <c r="A5976" t="str">
        <f>"0611834909100"</f>
        <v>0611834909100</v>
      </c>
      <c r="B5976" t="str">
        <f>"LK1405"</f>
        <v>LK1405</v>
      </c>
      <c r="C5976" t="s">
        <v>5843</v>
      </c>
    </row>
    <row r="5977" spans="1:3" x14ac:dyDescent="0.25">
      <c r="A5977" t="str">
        <f>"0611834911100"</f>
        <v>0611834911100</v>
      </c>
      <c r="B5977" t="str">
        <f>"LB9042"</f>
        <v>LB9042</v>
      </c>
      <c r="C5977" t="s">
        <v>5844</v>
      </c>
    </row>
    <row r="5978" spans="1:3" x14ac:dyDescent="0.25">
      <c r="A5978" t="str">
        <f>"0611834912100"</f>
        <v>0611834912100</v>
      </c>
      <c r="B5978" t="str">
        <f>"LK6978"</f>
        <v>LK6978</v>
      </c>
      <c r="C5978" t="s">
        <v>5845</v>
      </c>
    </row>
    <row r="5979" spans="1:3" x14ac:dyDescent="0.25">
      <c r="A5979" t="str">
        <f>"0611834914100"</f>
        <v>0611834914100</v>
      </c>
      <c r="B5979" t="str">
        <f>"LB9038"</f>
        <v>LB9038</v>
      </c>
      <c r="C5979" t="s">
        <v>5851</v>
      </c>
    </row>
    <row r="5980" spans="1:3" x14ac:dyDescent="0.25">
      <c r="A5980" t="str">
        <f>"0611834915100"</f>
        <v>0611834915100</v>
      </c>
      <c r="B5980" t="str">
        <f>"LQ6248"</f>
        <v>LQ6248</v>
      </c>
      <c r="C5980" t="s">
        <v>5852</v>
      </c>
    </row>
    <row r="5981" spans="1:3" x14ac:dyDescent="0.25">
      <c r="A5981" t="str">
        <f>"0611834916100"</f>
        <v>0611834916100</v>
      </c>
      <c r="B5981" t="str">
        <f>"LK6460"</f>
        <v>LK6460</v>
      </c>
      <c r="C5981" t="s">
        <v>5853</v>
      </c>
    </row>
    <row r="5982" spans="1:3" x14ac:dyDescent="0.25">
      <c r="A5982" t="str">
        <f>"0611856967025"</f>
        <v>0611856967025</v>
      </c>
      <c r="B5982" t="str">
        <f>"MQ0748"</f>
        <v>MQ0748</v>
      </c>
      <c r="C5982" t="s">
        <v>5854</v>
      </c>
    </row>
    <row r="5983" spans="1:3" x14ac:dyDescent="0.25">
      <c r="A5983" t="str">
        <f>"0611893604050"</f>
        <v>0611893604050</v>
      </c>
      <c r="B5983" t="str">
        <f>"CE1769"</f>
        <v>CE1769</v>
      </c>
      <c r="C5983" t="s">
        <v>5856</v>
      </c>
    </row>
    <row r="5984" spans="1:3" x14ac:dyDescent="0.25">
      <c r="A5984" t="str">
        <f>"0611834917025"</f>
        <v>0611834917025</v>
      </c>
      <c r="B5984" t="str">
        <f>"MC4269"</f>
        <v>MC4269</v>
      </c>
      <c r="C5984" t="s">
        <v>5859</v>
      </c>
    </row>
    <row r="5985" spans="1:3" x14ac:dyDescent="0.25">
      <c r="A5985" t="str">
        <f>"0611834918050"</f>
        <v>0611834918050</v>
      </c>
      <c r="B5985" t="str">
        <f>"NM0076"</f>
        <v>NM0076</v>
      </c>
      <c r="C5985" t="s">
        <v>5860</v>
      </c>
    </row>
    <row r="5986" spans="1:3" x14ac:dyDescent="0.25">
      <c r="A5986" t="str">
        <f>"0611834919025"</f>
        <v>0611834919025</v>
      </c>
      <c r="B5986" t="str">
        <f>"MC4359"</f>
        <v>MC4359</v>
      </c>
      <c r="C5986" t="s">
        <v>5857</v>
      </c>
    </row>
    <row r="5987" spans="1:3" x14ac:dyDescent="0.25">
      <c r="A5987" t="str">
        <f>"0611834920050"</f>
        <v>0611834920050</v>
      </c>
      <c r="B5987" t="str">
        <f>"NM0083"</f>
        <v>NM0083</v>
      </c>
      <c r="C5987" t="s">
        <v>5858</v>
      </c>
    </row>
    <row r="5988" spans="1:3" x14ac:dyDescent="0.25">
      <c r="A5988" t="str">
        <f>"0611857113100"</f>
        <v>0611857113100</v>
      </c>
      <c r="B5988" t="str">
        <f>"LL5053"</f>
        <v>LL5053</v>
      </c>
      <c r="C5988" t="s">
        <v>12158</v>
      </c>
    </row>
    <row r="5989" spans="1:3" x14ac:dyDescent="0.25">
      <c r="A5989" t="str">
        <f>"0611857114100"</f>
        <v>0611857114100</v>
      </c>
      <c r="B5989" t="str">
        <f>"LQ6255"</f>
        <v>LQ6255</v>
      </c>
      <c r="C5989" t="s">
        <v>12159</v>
      </c>
    </row>
    <row r="5990" spans="1:3" x14ac:dyDescent="0.25">
      <c r="A5990" t="str">
        <f>"0611834923100"</f>
        <v>0611834923100</v>
      </c>
      <c r="B5990" t="str">
        <f>"LK3045"</f>
        <v>LK3045</v>
      </c>
      <c r="C5990" t="s">
        <v>5864</v>
      </c>
    </row>
    <row r="5991" spans="1:3" x14ac:dyDescent="0.25">
      <c r="A5991" t="str">
        <f>"0611834913100"</f>
        <v>0611834913100</v>
      </c>
      <c r="B5991" t="str">
        <f>"LK5653"</f>
        <v>LK5653</v>
      </c>
      <c r="C5991" t="s">
        <v>5865</v>
      </c>
    </row>
    <row r="5992" spans="1:3" x14ac:dyDescent="0.25">
      <c r="A5992" t="str">
        <f>"0611834925100"</f>
        <v>0611834925100</v>
      </c>
      <c r="B5992" t="str">
        <f>"LB3108"</f>
        <v>LB3108</v>
      </c>
      <c r="C5992" t="s">
        <v>5866</v>
      </c>
    </row>
    <row r="5993" spans="1:3" x14ac:dyDescent="0.25">
      <c r="A5993" t="str">
        <f>"0611884244100"</f>
        <v>0611884244100</v>
      </c>
      <c r="B5993" t="str">
        <f>"LQ3930"</f>
        <v>LQ3930</v>
      </c>
      <c r="C5993" t="s">
        <v>5863</v>
      </c>
    </row>
    <row r="5994" spans="1:3" x14ac:dyDescent="0.25">
      <c r="A5994" t="str">
        <f>"0611834927100"</f>
        <v>0611834927100</v>
      </c>
      <c r="B5994" t="str">
        <f>"LC6070"</f>
        <v>LC6070</v>
      </c>
      <c r="C5994" t="s">
        <v>5867</v>
      </c>
    </row>
    <row r="5995" spans="1:3" x14ac:dyDescent="0.25">
      <c r="A5995" t="str">
        <f>"0611834928100"</f>
        <v>0611834928100</v>
      </c>
      <c r="B5995" t="str">
        <f>"LC6071"</f>
        <v>LC6071</v>
      </c>
      <c r="C5995" t="s">
        <v>5868</v>
      </c>
    </row>
    <row r="5996" spans="1:3" x14ac:dyDescent="0.25">
      <c r="A5996" t="str">
        <f>"0611884245025"</f>
        <v>0611884245025</v>
      </c>
      <c r="B5996" t="str">
        <f>"MC4471"</f>
        <v>MC4471</v>
      </c>
      <c r="C5996" t="s">
        <v>5869</v>
      </c>
    </row>
    <row r="5997" spans="1:3" x14ac:dyDescent="0.25">
      <c r="A5997" t="str">
        <f>"0611834929100"</f>
        <v>0611834929100</v>
      </c>
      <c r="B5997" t="str">
        <f>"LK2550"</f>
        <v>LK2550</v>
      </c>
      <c r="C5997" t="s">
        <v>5870</v>
      </c>
    </row>
    <row r="5998" spans="1:3" x14ac:dyDescent="0.25">
      <c r="A5998" t="str">
        <f>"0611862516050"</f>
        <v>0611862516050</v>
      </c>
      <c r="B5998" t="str">
        <f>"CE1417"</f>
        <v>CE1417</v>
      </c>
      <c r="C5998" t="s">
        <v>5871</v>
      </c>
    </row>
    <row r="5999" spans="1:3" x14ac:dyDescent="0.25">
      <c r="A5999" t="str">
        <f>"0611834930100"</f>
        <v>0611834930100</v>
      </c>
      <c r="B5999" t="str">
        <f>"LB4296"</f>
        <v>LB4296</v>
      </c>
      <c r="C5999" t="s">
        <v>5872</v>
      </c>
    </row>
    <row r="6000" spans="1:3" x14ac:dyDescent="0.25">
      <c r="A6000" t="str">
        <f>"0611862517050"</f>
        <v>0611862517050</v>
      </c>
      <c r="B6000" t="str">
        <f>"CR2860"</f>
        <v>CR2860</v>
      </c>
      <c r="C6000" t="s">
        <v>5873</v>
      </c>
    </row>
    <row r="6001" spans="1:3" x14ac:dyDescent="0.25">
      <c r="A6001" t="str">
        <f>"0611862518050"</f>
        <v>0611862518050</v>
      </c>
      <c r="B6001" t="str">
        <f>"CE1508"</f>
        <v>CE1508</v>
      </c>
      <c r="C6001" t="s">
        <v>5874</v>
      </c>
    </row>
    <row r="6002" spans="1:3" x14ac:dyDescent="0.25">
      <c r="A6002" t="str">
        <f>"0611834931100"</f>
        <v>0611834931100</v>
      </c>
      <c r="B6002" t="str">
        <f>"LK2156"</f>
        <v>LK2156</v>
      </c>
      <c r="C6002" t="s">
        <v>5875</v>
      </c>
    </row>
    <row r="6003" spans="1:3" x14ac:dyDescent="0.25">
      <c r="A6003" t="str">
        <f>"0611834932025"</f>
        <v>0611834932025</v>
      </c>
      <c r="B6003" t="str">
        <f>"MC1603"</f>
        <v>MC1603</v>
      </c>
      <c r="C6003" t="s">
        <v>5876</v>
      </c>
    </row>
    <row r="6004" spans="1:3" x14ac:dyDescent="0.25">
      <c r="A6004" t="str">
        <f>"0611834933100"</f>
        <v>0611834933100</v>
      </c>
      <c r="B6004" t="str">
        <f>"LS0073"</f>
        <v>LS0073</v>
      </c>
      <c r="C6004" t="s">
        <v>5877</v>
      </c>
    </row>
    <row r="6005" spans="1:3" x14ac:dyDescent="0.25">
      <c r="A6005" t="str">
        <f>"0611834934025"</f>
        <v>0611834934025</v>
      </c>
      <c r="B6005" t="str">
        <f>"MC1604"</f>
        <v>MC1604</v>
      </c>
      <c r="C6005" t="s">
        <v>5878</v>
      </c>
    </row>
    <row r="6006" spans="1:3" x14ac:dyDescent="0.25">
      <c r="A6006" t="str">
        <f>"0611834935100"</f>
        <v>0611834935100</v>
      </c>
      <c r="B6006" t="str">
        <f>"LK0778"</f>
        <v>LK0778</v>
      </c>
      <c r="C6006" t="s">
        <v>5879</v>
      </c>
    </row>
    <row r="6007" spans="1:3" x14ac:dyDescent="0.25">
      <c r="A6007" t="str">
        <f>"0611862519050"</f>
        <v>0611862519050</v>
      </c>
      <c r="B6007" t="str">
        <f>"CE1510"</f>
        <v>CE1510</v>
      </c>
      <c r="C6007" t="s">
        <v>5880</v>
      </c>
    </row>
    <row r="6008" spans="1:3" x14ac:dyDescent="0.25">
      <c r="A6008" t="str">
        <f>"0611834936100"</f>
        <v>0611834936100</v>
      </c>
      <c r="B6008" t="str">
        <f>"LK0779"</f>
        <v>LK0779</v>
      </c>
      <c r="C6008" t="s">
        <v>5881</v>
      </c>
    </row>
    <row r="6009" spans="1:3" x14ac:dyDescent="0.25">
      <c r="A6009" t="str">
        <f>"0611862520050"</f>
        <v>0611862520050</v>
      </c>
      <c r="B6009" t="str">
        <f>"CR2863"</f>
        <v>CR2863</v>
      </c>
      <c r="C6009" t="s">
        <v>5882</v>
      </c>
    </row>
    <row r="6010" spans="1:3" x14ac:dyDescent="0.25">
      <c r="A6010" t="str">
        <f>"0611834937100"</f>
        <v>0611834937100</v>
      </c>
      <c r="B6010" t="str">
        <f>"LK3707"</f>
        <v>LK3707</v>
      </c>
      <c r="C6010" t="s">
        <v>5883</v>
      </c>
    </row>
    <row r="6011" spans="1:3" x14ac:dyDescent="0.25">
      <c r="A6011" t="str">
        <f>"0611906785025"</f>
        <v>0611906785025</v>
      </c>
      <c r="B6011" t="str">
        <f>"MQ7524"</f>
        <v>MQ7524</v>
      </c>
      <c r="C6011" t="s">
        <v>5884</v>
      </c>
    </row>
    <row r="6012" spans="1:3" x14ac:dyDescent="0.25">
      <c r="A6012" t="str">
        <f>"0611862521050"</f>
        <v>0611862521050</v>
      </c>
      <c r="B6012" t="str">
        <f>"CE1418"</f>
        <v>CE1418</v>
      </c>
      <c r="C6012" t="s">
        <v>5885</v>
      </c>
    </row>
    <row r="6013" spans="1:3" x14ac:dyDescent="0.25">
      <c r="A6013" t="str">
        <f>"0611834938100"</f>
        <v>0611834938100</v>
      </c>
      <c r="B6013" t="str">
        <f>"LK2555"</f>
        <v>LK2555</v>
      </c>
      <c r="C6013" t="s">
        <v>5886</v>
      </c>
    </row>
    <row r="6014" spans="1:3" x14ac:dyDescent="0.25">
      <c r="A6014" t="str">
        <f>"0611862522050"</f>
        <v>0611862522050</v>
      </c>
      <c r="B6014" t="str">
        <f>"CR2348"</f>
        <v>CR2348</v>
      </c>
      <c r="C6014" t="s">
        <v>5887</v>
      </c>
    </row>
    <row r="6015" spans="1:3" x14ac:dyDescent="0.25">
      <c r="A6015" t="str">
        <f>"0611834939100"</f>
        <v>0611834939100</v>
      </c>
      <c r="B6015" t="str">
        <f>"LK0597"</f>
        <v>LK0597</v>
      </c>
      <c r="C6015" t="s">
        <v>5888</v>
      </c>
    </row>
    <row r="6016" spans="1:3" x14ac:dyDescent="0.25">
      <c r="A6016" t="str">
        <f>"0611862523050"</f>
        <v>0611862523050</v>
      </c>
      <c r="B6016" t="str">
        <f>"CR2349"</f>
        <v>CR2349</v>
      </c>
      <c r="C6016" t="s">
        <v>5889</v>
      </c>
    </row>
    <row r="6017" spans="1:3" x14ac:dyDescent="0.25">
      <c r="A6017" t="str">
        <f>"0611834940100"</f>
        <v>0611834940100</v>
      </c>
      <c r="B6017" t="str">
        <f>"LQ0679"</f>
        <v>LQ0679</v>
      </c>
      <c r="C6017" t="s">
        <v>5890</v>
      </c>
    </row>
    <row r="6018" spans="1:3" x14ac:dyDescent="0.25">
      <c r="A6018" t="str">
        <f>"0611862524050"</f>
        <v>0611862524050</v>
      </c>
      <c r="B6018" t="str">
        <f>"CR3166"</f>
        <v>CR3166</v>
      </c>
      <c r="C6018" t="s">
        <v>5891</v>
      </c>
    </row>
    <row r="6019" spans="1:3" x14ac:dyDescent="0.25">
      <c r="A6019" t="str">
        <f>"0611884246025"</f>
        <v>0611884246025</v>
      </c>
      <c r="B6019" t="str">
        <f>"MC4472"</f>
        <v>MC4472</v>
      </c>
      <c r="C6019" t="s">
        <v>5892</v>
      </c>
    </row>
    <row r="6020" spans="1:3" x14ac:dyDescent="0.25">
      <c r="A6020" t="str">
        <f>"0611834941100"</f>
        <v>0611834941100</v>
      </c>
      <c r="B6020" t="str">
        <f>"LK0781"</f>
        <v>LK0781</v>
      </c>
      <c r="C6020" t="s">
        <v>5893</v>
      </c>
    </row>
    <row r="6021" spans="1:3" x14ac:dyDescent="0.25">
      <c r="A6021" t="str">
        <f>"0611834942025"</f>
        <v>0611834942025</v>
      </c>
      <c r="B6021" t="str">
        <f>"MC2269"</f>
        <v>MC2269</v>
      </c>
      <c r="C6021" t="s">
        <v>5894</v>
      </c>
    </row>
    <row r="6022" spans="1:3" x14ac:dyDescent="0.25">
      <c r="A6022" t="str">
        <f>"0611862525050"</f>
        <v>0611862525050</v>
      </c>
      <c r="B6022" t="str">
        <f>"CR2811"</f>
        <v>CR2811</v>
      </c>
      <c r="C6022" t="s">
        <v>5895</v>
      </c>
    </row>
    <row r="6023" spans="1:3" x14ac:dyDescent="0.25">
      <c r="A6023" t="str">
        <f>"0611856968100"</f>
        <v>0611856968100</v>
      </c>
      <c r="B6023" t="str">
        <f>"LQ3538"</f>
        <v>LQ3538</v>
      </c>
      <c r="C6023" t="s">
        <v>5896</v>
      </c>
    </row>
    <row r="6024" spans="1:3" x14ac:dyDescent="0.25">
      <c r="A6024" t="str">
        <f>"0611834943025"</f>
        <v>0611834943025</v>
      </c>
      <c r="B6024" t="str">
        <f>"MC1912"</f>
        <v>MC1912</v>
      </c>
      <c r="C6024" t="s">
        <v>5897</v>
      </c>
    </row>
    <row r="6025" spans="1:3" x14ac:dyDescent="0.25">
      <c r="A6025" t="str">
        <f>"0611834944025"</f>
        <v>0611834944025</v>
      </c>
      <c r="B6025" t="str">
        <f>"MC1187"</f>
        <v>MC1187</v>
      </c>
      <c r="C6025" t="s">
        <v>5898</v>
      </c>
    </row>
    <row r="6026" spans="1:3" x14ac:dyDescent="0.25">
      <c r="A6026" t="str">
        <f>"0611834945025"</f>
        <v>0611834945025</v>
      </c>
      <c r="B6026" t="str">
        <f>"MC4288"</f>
        <v>MC4288</v>
      </c>
      <c r="C6026" t="s">
        <v>5899</v>
      </c>
    </row>
    <row r="6027" spans="1:3" x14ac:dyDescent="0.25">
      <c r="A6027" t="str">
        <f>"0611834946025"</f>
        <v>0611834946025</v>
      </c>
      <c r="B6027" t="str">
        <f>"MC4289"</f>
        <v>MC4289</v>
      </c>
      <c r="C6027" t="s">
        <v>5900</v>
      </c>
    </row>
    <row r="6028" spans="1:3" x14ac:dyDescent="0.25">
      <c r="A6028" t="str">
        <f>"0611834947025"</f>
        <v>0611834947025</v>
      </c>
      <c r="B6028" t="str">
        <f>"MQ3153"</f>
        <v>MQ3153</v>
      </c>
      <c r="C6028" t="s">
        <v>5901</v>
      </c>
    </row>
    <row r="6029" spans="1:3" x14ac:dyDescent="0.25">
      <c r="A6029" t="str">
        <f>"0611834949025"</f>
        <v>0611834949025</v>
      </c>
      <c r="B6029" t="str">
        <f>"MQ0711"</f>
        <v>MQ0711</v>
      </c>
      <c r="C6029" t="s">
        <v>5902</v>
      </c>
    </row>
    <row r="6030" spans="1:3" x14ac:dyDescent="0.25">
      <c r="A6030" t="str">
        <f>"0611834950025"</f>
        <v>0611834950025</v>
      </c>
      <c r="B6030" t="str">
        <f>"MC2444"</f>
        <v>MC2444</v>
      </c>
      <c r="C6030" t="s">
        <v>5903</v>
      </c>
    </row>
    <row r="6031" spans="1:3" x14ac:dyDescent="0.25">
      <c r="A6031" t="str">
        <f>"0611834951100"</f>
        <v>0611834951100</v>
      </c>
      <c r="B6031" t="str">
        <f>"LH4420"</f>
        <v>LH4420</v>
      </c>
      <c r="C6031" t="s">
        <v>5904</v>
      </c>
    </row>
    <row r="6032" spans="1:3" x14ac:dyDescent="0.25">
      <c r="A6032" t="str">
        <f>"0611834952025"</f>
        <v>0611834952025</v>
      </c>
      <c r="B6032" t="str">
        <f>"MC0326"</f>
        <v>MC0326</v>
      </c>
      <c r="C6032" t="s">
        <v>5905</v>
      </c>
    </row>
    <row r="6033" spans="1:3" x14ac:dyDescent="0.25">
      <c r="A6033" t="str">
        <f>"0611862526100"</f>
        <v>0611862526100</v>
      </c>
      <c r="B6033" t="str">
        <f>"CN5200"</f>
        <v>CN5200</v>
      </c>
      <c r="C6033" t="s">
        <v>5906</v>
      </c>
    </row>
    <row r="6034" spans="1:3" x14ac:dyDescent="0.25">
      <c r="A6034" t="str">
        <f>"0611834953025"</f>
        <v>0611834953025</v>
      </c>
      <c r="B6034" t="str">
        <f>"MQ0229"</f>
        <v>MQ0229</v>
      </c>
      <c r="C6034" t="s">
        <v>5907</v>
      </c>
    </row>
    <row r="6035" spans="1:3" x14ac:dyDescent="0.25">
      <c r="A6035" t="str">
        <f>"0611862527050"</f>
        <v>0611862527050</v>
      </c>
      <c r="B6035" t="str">
        <f>"CR4323"</f>
        <v>CR4323</v>
      </c>
      <c r="C6035" t="s">
        <v>5908</v>
      </c>
    </row>
    <row r="6036" spans="1:3" x14ac:dyDescent="0.25">
      <c r="A6036" t="str">
        <f>"0611906786025"</f>
        <v>0611906786025</v>
      </c>
      <c r="B6036" t="str">
        <f>"MQ7552"</f>
        <v>MQ7552</v>
      </c>
      <c r="C6036" t="s">
        <v>5909</v>
      </c>
    </row>
    <row r="6037" spans="1:3" x14ac:dyDescent="0.25">
      <c r="A6037" t="str">
        <f>"0611834955100"</f>
        <v>0611834955100</v>
      </c>
      <c r="B6037" t="str">
        <f>"LB3068"</f>
        <v>LB3068</v>
      </c>
      <c r="C6037" t="s">
        <v>5910</v>
      </c>
    </row>
    <row r="6038" spans="1:3" x14ac:dyDescent="0.25">
      <c r="A6038" t="str">
        <f>"0611862528050"</f>
        <v>0611862528050</v>
      </c>
      <c r="B6038" t="str">
        <f>"CR2963"</f>
        <v>CR2963</v>
      </c>
      <c r="C6038" t="s">
        <v>5911</v>
      </c>
    </row>
    <row r="6039" spans="1:3" x14ac:dyDescent="0.25">
      <c r="A6039" t="str">
        <f>"0611834956100"</f>
        <v>0611834956100</v>
      </c>
      <c r="B6039" t="str">
        <f>"LK0184"</f>
        <v>LK0184</v>
      </c>
      <c r="C6039" t="s">
        <v>5912</v>
      </c>
    </row>
    <row r="6040" spans="1:3" x14ac:dyDescent="0.25">
      <c r="A6040" t="str">
        <f>"0611834957025"</f>
        <v>0611834957025</v>
      </c>
      <c r="B6040" t="str">
        <f>"MC1432"</f>
        <v>MC1432</v>
      </c>
      <c r="C6040" t="s">
        <v>5913</v>
      </c>
    </row>
    <row r="6041" spans="1:3" x14ac:dyDescent="0.25">
      <c r="A6041" t="str">
        <f>"0611862529050"</f>
        <v>0611862529050</v>
      </c>
      <c r="B6041" t="str">
        <f>"CR4961"</f>
        <v>CR4961</v>
      </c>
      <c r="C6041" t="s">
        <v>5914</v>
      </c>
    </row>
    <row r="6042" spans="1:3" x14ac:dyDescent="0.25">
      <c r="A6042" t="str">
        <f>"0611834958100"</f>
        <v>0611834958100</v>
      </c>
      <c r="B6042" t="str">
        <f>"LB3250"</f>
        <v>LB3250</v>
      </c>
      <c r="C6042" t="s">
        <v>5915</v>
      </c>
    </row>
    <row r="6043" spans="1:3" x14ac:dyDescent="0.25">
      <c r="A6043" t="str">
        <f>"0611834959100"</f>
        <v>0611834959100</v>
      </c>
      <c r="B6043" t="str">
        <f>"LQ3461"</f>
        <v>LQ3461</v>
      </c>
      <c r="C6043" t="s">
        <v>5916</v>
      </c>
    </row>
    <row r="6044" spans="1:3" x14ac:dyDescent="0.25">
      <c r="A6044" t="str">
        <f>"0611834960100"</f>
        <v>0611834960100</v>
      </c>
      <c r="B6044" t="str">
        <f>"LQ0381"</f>
        <v>LQ0381</v>
      </c>
      <c r="C6044" t="s">
        <v>5917</v>
      </c>
    </row>
    <row r="6045" spans="1:3" x14ac:dyDescent="0.25">
      <c r="A6045" t="str">
        <f>"0611862530050"</f>
        <v>0611862530050</v>
      </c>
      <c r="B6045" t="str">
        <f>"CR3889"</f>
        <v>CR3889</v>
      </c>
      <c r="C6045" t="s">
        <v>13869</v>
      </c>
    </row>
    <row r="6046" spans="1:3" x14ac:dyDescent="0.25">
      <c r="A6046" t="str">
        <f>"0611862531050"</f>
        <v>0611862531050</v>
      </c>
      <c r="B6046" t="str">
        <f>"CE0430"</f>
        <v>CE0430</v>
      </c>
      <c r="C6046" t="s">
        <v>5918</v>
      </c>
    </row>
    <row r="6047" spans="1:3" x14ac:dyDescent="0.25">
      <c r="A6047" t="str">
        <f>"0611906787025"</f>
        <v>0611906787025</v>
      </c>
      <c r="B6047" t="str">
        <f>"MQ7553"</f>
        <v>MQ7553</v>
      </c>
      <c r="C6047" t="s">
        <v>5919</v>
      </c>
    </row>
    <row r="6048" spans="1:3" x14ac:dyDescent="0.25">
      <c r="A6048" t="str">
        <f>"0611906788025"</f>
        <v>0611906788025</v>
      </c>
      <c r="B6048" t="str">
        <f>"MQ7554"</f>
        <v>MQ7554</v>
      </c>
      <c r="C6048" t="s">
        <v>5920</v>
      </c>
    </row>
    <row r="6049" spans="1:3" x14ac:dyDescent="0.25">
      <c r="A6049" t="str">
        <f>"0611834981025"</f>
        <v>0611834981025</v>
      </c>
      <c r="B6049" t="str">
        <f>"MC1199"</f>
        <v>MC1199</v>
      </c>
      <c r="C6049" t="s">
        <v>5921</v>
      </c>
    </row>
    <row r="6050" spans="1:3" x14ac:dyDescent="0.25">
      <c r="A6050" t="str">
        <f>"0611906789025"</f>
        <v>0611906789025</v>
      </c>
      <c r="B6050" t="str">
        <f>"MQ7555"</f>
        <v>MQ7555</v>
      </c>
      <c r="C6050" t="s">
        <v>5922</v>
      </c>
    </row>
    <row r="6051" spans="1:3" x14ac:dyDescent="0.25">
      <c r="A6051" t="str">
        <f>"0611906790025"</f>
        <v>0611906790025</v>
      </c>
      <c r="B6051" t="str">
        <f>"MQ7556"</f>
        <v>MQ7556</v>
      </c>
      <c r="C6051" t="s">
        <v>5923</v>
      </c>
    </row>
    <row r="6052" spans="1:3" x14ac:dyDescent="0.25">
      <c r="A6052" t="str">
        <f>"0611834982025"</f>
        <v>0611834982025</v>
      </c>
      <c r="B6052" t="str">
        <f>"MC2721"</f>
        <v>MC2721</v>
      </c>
      <c r="C6052" t="s">
        <v>5924</v>
      </c>
    </row>
    <row r="6053" spans="1:3" x14ac:dyDescent="0.25">
      <c r="A6053" t="str">
        <f>"0611906791025"</f>
        <v>0611906791025</v>
      </c>
      <c r="B6053" t="str">
        <f>"MQ7557"</f>
        <v>MQ7557</v>
      </c>
      <c r="C6053" t="s">
        <v>5925</v>
      </c>
    </row>
    <row r="6054" spans="1:3" x14ac:dyDescent="0.25">
      <c r="A6054" t="str">
        <f>"0611906792025"</f>
        <v>0611906792025</v>
      </c>
      <c r="B6054" t="str">
        <f>"MQ7558"</f>
        <v>MQ7558</v>
      </c>
      <c r="C6054" t="s">
        <v>5926</v>
      </c>
    </row>
    <row r="6055" spans="1:3" x14ac:dyDescent="0.25">
      <c r="A6055" t="str">
        <f>"0611834999100"</f>
        <v>0611834999100</v>
      </c>
      <c r="B6055" t="str">
        <f>"LF3250"</f>
        <v>LF3250</v>
      </c>
      <c r="C6055" t="s">
        <v>5927</v>
      </c>
    </row>
    <row r="6056" spans="1:3" x14ac:dyDescent="0.25">
      <c r="A6056" t="str">
        <f>"0611835000025"</f>
        <v>0611835000025</v>
      </c>
      <c r="B6056" t="str">
        <f>"MC3891"</f>
        <v>MC3891</v>
      </c>
      <c r="C6056" t="s">
        <v>5928</v>
      </c>
    </row>
    <row r="6057" spans="1:3" x14ac:dyDescent="0.25">
      <c r="A6057" t="str">
        <f>"0611835003025"</f>
        <v>0611835003025</v>
      </c>
      <c r="B6057" t="str">
        <f>"MC0869"</f>
        <v>MC0869</v>
      </c>
      <c r="C6057" t="s">
        <v>5929</v>
      </c>
    </row>
    <row r="6058" spans="1:3" x14ac:dyDescent="0.25">
      <c r="A6058" t="str">
        <f>"0611835004025"</f>
        <v>0611835004025</v>
      </c>
      <c r="B6058" t="str">
        <f>"MC0343"</f>
        <v>MC0343</v>
      </c>
      <c r="C6058" t="s">
        <v>5930</v>
      </c>
    </row>
    <row r="6059" spans="1:3" x14ac:dyDescent="0.25">
      <c r="A6059" t="str">
        <f>"0611835005025"</f>
        <v>0611835005025</v>
      </c>
      <c r="B6059" t="str">
        <f>"MC1951"</f>
        <v>MC1951</v>
      </c>
      <c r="C6059" t="s">
        <v>5931</v>
      </c>
    </row>
    <row r="6060" spans="1:3" x14ac:dyDescent="0.25">
      <c r="A6060" t="str">
        <f>"0611835006025"</f>
        <v>0611835006025</v>
      </c>
      <c r="B6060" t="str">
        <f>"MC1551"</f>
        <v>MC1551</v>
      </c>
      <c r="C6060" t="s">
        <v>5932</v>
      </c>
    </row>
    <row r="6061" spans="1:3" x14ac:dyDescent="0.25">
      <c r="A6061" t="str">
        <f>"0611835007025"</f>
        <v>0611835007025</v>
      </c>
      <c r="B6061" t="str">
        <f>"MC1955"</f>
        <v>MC1955</v>
      </c>
      <c r="C6061" t="s">
        <v>5933</v>
      </c>
    </row>
    <row r="6062" spans="1:3" x14ac:dyDescent="0.25">
      <c r="A6062" t="str">
        <f>"0611835008025"</f>
        <v>0611835008025</v>
      </c>
      <c r="B6062" t="str">
        <f>"MC1458"</f>
        <v>MC1458</v>
      </c>
      <c r="C6062" t="s">
        <v>5934</v>
      </c>
    </row>
    <row r="6063" spans="1:3" x14ac:dyDescent="0.25">
      <c r="A6063" t="str">
        <f>"0611835009025"</f>
        <v>0611835009025</v>
      </c>
      <c r="B6063" t="str">
        <f>"MC3595"</f>
        <v>MC3595</v>
      </c>
      <c r="C6063" t="s">
        <v>5935</v>
      </c>
    </row>
    <row r="6064" spans="1:3" x14ac:dyDescent="0.25">
      <c r="A6064" t="str">
        <f>"0611835010025"</f>
        <v>0611835010025</v>
      </c>
      <c r="B6064" t="str">
        <f>"MC0357"</f>
        <v>MC0357</v>
      </c>
      <c r="C6064" t="s">
        <v>5936</v>
      </c>
    </row>
    <row r="6065" spans="1:3" x14ac:dyDescent="0.25">
      <c r="A6065" t="str">
        <f>"0611835012100"</f>
        <v>0611835012100</v>
      </c>
      <c r="B6065" t="str">
        <f>"LF3260"</f>
        <v>LF3260</v>
      </c>
      <c r="C6065" t="s">
        <v>5937</v>
      </c>
    </row>
    <row r="6066" spans="1:3" x14ac:dyDescent="0.25">
      <c r="A6066" t="str">
        <f>"0611835013100"</f>
        <v>0611835013100</v>
      </c>
      <c r="B6066" t="str">
        <f>"LK5004"</f>
        <v>LK5004</v>
      </c>
      <c r="C6066" t="s">
        <v>5938</v>
      </c>
    </row>
    <row r="6067" spans="1:3" x14ac:dyDescent="0.25">
      <c r="A6067" t="str">
        <f>"0611838683100"</f>
        <v>0611838683100</v>
      </c>
      <c r="B6067" t="str">
        <f>"LC5360"</f>
        <v>LC5360</v>
      </c>
      <c r="C6067" t="s">
        <v>10961</v>
      </c>
    </row>
    <row r="6068" spans="1:3" x14ac:dyDescent="0.25">
      <c r="A6068" t="str">
        <f>"0611839864100"</f>
        <v>0611839864100</v>
      </c>
      <c r="B6068" t="str">
        <f>"LC0006"</f>
        <v>LC0006</v>
      </c>
      <c r="C6068" t="s">
        <v>12763</v>
      </c>
    </row>
    <row r="6069" spans="1:3" x14ac:dyDescent="0.25">
      <c r="A6069" t="str">
        <f>"0611835026100"</f>
        <v>0611835026100</v>
      </c>
      <c r="B6069" t="str">
        <f>"LC5000"</f>
        <v>LC5000</v>
      </c>
      <c r="C6069" t="s">
        <v>5940</v>
      </c>
    </row>
    <row r="6070" spans="1:3" x14ac:dyDescent="0.25">
      <c r="A6070" t="str">
        <f>"0611838545100"</f>
        <v>0611838545100</v>
      </c>
      <c r="B6070" t="str">
        <f>"LC8599"</f>
        <v>LC8599</v>
      </c>
      <c r="C6070" t="s">
        <v>10796</v>
      </c>
    </row>
    <row r="6071" spans="1:3" x14ac:dyDescent="0.25">
      <c r="A6071" t="str">
        <f>"0611838832100"</f>
        <v>0611838832100</v>
      </c>
      <c r="B6071" t="str">
        <f>"LC0011"</f>
        <v>LC0011</v>
      </c>
      <c r="C6071" t="s">
        <v>11216</v>
      </c>
    </row>
    <row r="6072" spans="1:3" x14ac:dyDescent="0.25">
      <c r="A6072" t="str">
        <f>"0611839898100"</f>
        <v>0611839898100</v>
      </c>
      <c r="B6072" t="str">
        <f>"LC9530"</f>
        <v>LC9530</v>
      </c>
      <c r="C6072" t="s">
        <v>12781</v>
      </c>
    </row>
    <row r="6073" spans="1:3" x14ac:dyDescent="0.25">
      <c r="A6073" t="str">
        <f>"0611835206025"</f>
        <v>0611835206025</v>
      </c>
      <c r="B6073" t="str">
        <f>"MQ0712"</f>
        <v>MQ0712</v>
      </c>
      <c r="C6073" t="s">
        <v>5942</v>
      </c>
    </row>
    <row r="6074" spans="1:3" x14ac:dyDescent="0.25">
      <c r="A6074" t="str">
        <f>"0611856981025"</f>
        <v>0611856981025</v>
      </c>
      <c r="B6074" t="str">
        <f>"MQ0786"</f>
        <v>MQ0786</v>
      </c>
      <c r="C6074" t="s">
        <v>5943</v>
      </c>
    </row>
    <row r="6075" spans="1:3" x14ac:dyDescent="0.25">
      <c r="A6075" t="str">
        <f>"0611835207025"</f>
        <v>0611835207025</v>
      </c>
      <c r="B6075" t="str">
        <f>"MC4212"</f>
        <v>MC4212</v>
      </c>
      <c r="C6075" t="s">
        <v>5944</v>
      </c>
    </row>
    <row r="6076" spans="1:3" x14ac:dyDescent="0.25">
      <c r="A6076" t="str">
        <f>"0611835209100"</f>
        <v>0611835209100</v>
      </c>
      <c r="B6076" t="str">
        <f>"LH4571"</f>
        <v>LH4571</v>
      </c>
      <c r="C6076" t="s">
        <v>5945</v>
      </c>
    </row>
    <row r="6077" spans="1:3" x14ac:dyDescent="0.25">
      <c r="A6077" t="str">
        <f>"0611835210025"</f>
        <v>0611835210025</v>
      </c>
      <c r="B6077" t="str">
        <f>"MC0368"</f>
        <v>MC0368</v>
      </c>
      <c r="C6077" t="s">
        <v>5946</v>
      </c>
    </row>
    <row r="6078" spans="1:3" x14ac:dyDescent="0.25">
      <c r="A6078" t="str">
        <f>"0611835212025"</f>
        <v>0611835212025</v>
      </c>
      <c r="B6078" t="str">
        <f>"MC4213"</f>
        <v>MC4213</v>
      </c>
      <c r="C6078" t="s">
        <v>5947</v>
      </c>
    </row>
    <row r="6079" spans="1:3" x14ac:dyDescent="0.25">
      <c r="A6079" t="str">
        <f>"0611835213025"</f>
        <v>0611835213025</v>
      </c>
      <c r="B6079" t="str">
        <f>"MQ3154"</f>
        <v>MQ3154</v>
      </c>
      <c r="C6079" t="s">
        <v>5948</v>
      </c>
    </row>
    <row r="6080" spans="1:3" x14ac:dyDescent="0.25">
      <c r="A6080" t="str">
        <f>"0611835214025"</f>
        <v>0611835214025</v>
      </c>
      <c r="B6080" t="str">
        <f>"MQ0713"</f>
        <v>MQ0713</v>
      </c>
      <c r="C6080" t="s">
        <v>5949</v>
      </c>
    </row>
    <row r="6081" spans="1:3" x14ac:dyDescent="0.25">
      <c r="A6081" t="str">
        <f>"0611835216025"</f>
        <v>0611835216025</v>
      </c>
      <c r="B6081" t="str">
        <f>"MQ0714"</f>
        <v>MQ0714</v>
      </c>
      <c r="C6081" t="s">
        <v>5950</v>
      </c>
    </row>
    <row r="6082" spans="1:3" x14ac:dyDescent="0.25">
      <c r="A6082" t="str">
        <f>"0611835218025"</f>
        <v>0611835218025</v>
      </c>
      <c r="B6082" t="str">
        <f>"MQ3156"</f>
        <v>MQ3156</v>
      </c>
      <c r="C6082" t="s">
        <v>5951</v>
      </c>
    </row>
    <row r="6083" spans="1:3" x14ac:dyDescent="0.25">
      <c r="A6083" t="str">
        <f>"0611835215025"</f>
        <v>0611835215025</v>
      </c>
      <c r="B6083" t="str">
        <f>"MQ3157"</f>
        <v>MQ3157</v>
      </c>
      <c r="C6083" t="s">
        <v>5952</v>
      </c>
    </row>
    <row r="6084" spans="1:3" x14ac:dyDescent="0.25">
      <c r="A6084" t="str">
        <f>"0611835219025"</f>
        <v>0611835219025</v>
      </c>
      <c r="B6084" t="str">
        <f>"MQ3158"</f>
        <v>MQ3158</v>
      </c>
      <c r="C6084" t="s">
        <v>5953</v>
      </c>
    </row>
    <row r="6085" spans="1:3" x14ac:dyDescent="0.25">
      <c r="A6085" t="str">
        <f>"0611835220025"</f>
        <v>0611835220025</v>
      </c>
      <c r="B6085" t="str">
        <f>"MQ3159"</f>
        <v>MQ3159</v>
      </c>
      <c r="C6085" t="s">
        <v>5954</v>
      </c>
    </row>
    <row r="6086" spans="1:3" x14ac:dyDescent="0.25">
      <c r="A6086" t="str">
        <f>"0611835221025"</f>
        <v>0611835221025</v>
      </c>
      <c r="B6086" t="str">
        <f>"MQ3160"</f>
        <v>MQ3160</v>
      </c>
      <c r="C6086" t="s">
        <v>5955</v>
      </c>
    </row>
    <row r="6087" spans="1:3" x14ac:dyDescent="0.25">
      <c r="A6087" t="str">
        <f>"0611835222025"</f>
        <v>0611835222025</v>
      </c>
      <c r="B6087" t="str">
        <f>"MQ3161"</f>
        <v>MQ3161</v>
      </c>
      <c r="C6087" t="s">
        <v>5956</v>
      </c>
    </row>
    <row r="6088" spans="1:3" x14ac:dyDescent="0.25">
      <c r="A6088" t="str">
        <f>"0611835223025"</f>
        <v>0611835223025</v>
      </c>
      <c r="B6088" t="str">
        <f>"MQ3162"</f>
        <v>MQ3162</v>
      </c>
      <c r="C6088" t="s">
        <v>5957</v>
      </c>
    </row>
    <row r="6089" spans="1:3" x14ac:dyDescent="0.25">
      <c r="A6089" t="str">
        <f>"0611835224025"</f>
        <v>0611835224025</v>
      </c>
      <c r="B6089" t="str">
        <f>"MQ3164"</f>
        <v>MQ3164</v>
      </c>
      <c r="C6089" t="s">
        <v>5958</v>
      </c>
    </row>
    <row r="6090" spans="1:3" x14ac:dyDescent="0.25">
      <c r="A6090" t="str">
        <f>"0611835228100"</f>
        <v>0611835228100</v>
      </c>
      <c r="B6090" t="str">
        <f>"LH4575"</f>
        <v>LH4575</v>
      </c>
      <c r="C6090" t="s">
        <v>5959</v>
      </c>
    </row>
    <row r="6091" spans="1:3" x14ac:dyDescent="0.25">
      <c r="A6091" t="str">
        <f>"0611835229025"</f>
        <v>0611835229025</v>
      </c>
      <c r="B6091" t="str">
        <f>"MC3737"</f>
        <v>MC3737</v>
      </c>
      <c r="C6091" t="s">
        <v>5960</v>
      </c>
    </row>
    <row r="6092" spans="1:3" x14ac:dyDescent="0.25">
      <c r="A6092" t="str">
        <f>"0611835230025"</f>
        <v>0611835230025</v>
      </c>
      <c r="B6092" t="str">
        <f>"MC3354"</f>
        <v>MC3354</v>
      </c>
      <c r="C6092" t="s">
        <v>5961</v>
      </c>
    </row>
    <row r="6093" spans="1:3" x14ac:dyDescent="0.25">
      <c r="A6093" t="str">
        <f>"0611835231025"</f>
        <v>0611835231025</v>
      </c>
      <c r="B6093" t="str">
        <f>"MC0877"</f>
        <v>MC0877</v>
      </c>
      <c r="C6093" t="s">
        <v>5962</v>
      </c>
    </row>
    <row r="6094" spans="1:3" x14ac:dyDescent="0.25">
      <c r="A6094" t="str">
        <f>"0611906793025"</f>
        <v>0611906793025</v>
      </c>
      <c r="B6094" t="str">
        <f>"MC4214"</f>
        <v>MC4214</v>
      </c>
      <c r="C6094" t="s">
        <v>5963</v>
      </c>
    </row>
    <row r="6095" spans="1:3" x14ac:dyDescent="0.25">
      <c r="A6095" t="str">
        <f>"0611835236025"</f>
        <v>0611835236025</v>
      </c>
      <c r="B6095" t="str">
        <f>"MC0371"</f>
        <v>MC0371</v>
      </c>
      <c r="C6095" t="s">
        <v>5964</v>
      </c>
    </row>
    <row r="6096" spans="1:3" x14ac:dyDescent="0.25">
      <c r="A6096" t="str">
        <f>"0611835237025"</f>
        <v>0611835237025</v>
      </c>
      <c r="B6096" t="str">
        <f>"MQ0281"</f>
        <v>MQ0281</v>
      </c>
      <c r="C6096" t="s">
        <v>5965</v>
      </c>
    </row>
    <row r="6097" spans="1:3" x14ac:dyDescent="0.25">
      <c r="A6097" t="str">
        <f>"0611856982025"</f>
        <v>0611856982025</v>
      </c>
      <c r="B6097" t="str">
        <f>"MC4414"</f>
        <v>MC4414</v>
      </c>
      <c r="C6097" t="s">
        <v>5966</v>
      </c>
    </row>
    <row r="6098" spans="1:3" x14ac:dyDescent="0.25">
      <c r="A6098" t="str">
        <f>"0611835238025"</f>
        <v>0611835238025</v>
      </c>
      <c r="B6098" t="str">
        <f>"MQ0506"</f>
        <v>MQ0506</v>
      </c>
      <c r="C6098" t="s">
        <v>5967</v>
      </c>
    </row>
    <row r="6099" spans="1:3" x14ac:dyDescent="0.25">
      <c r="A6099" t="str">
        <f>"0611906794025"</f>
        <v>0611906794025</v>
      </c>
      <c r="B6099" t="str">
        <f>"MC4535"</f>
        <v>MC4535</v>
      </c>
      <c r="C6099" t="s">
        <v>5968</v>
      </c>
    </row>
    <row r="6100" spans="1:3" x14ac:dyDescent="0.25">
      <c r="A6100" t="str">
        <f>"0611835241025"</f>
        <v>0611835241025</v>
      </c>
      <c r="B6100" t="str">
        <f>"MQ5120"</f>
        <v>MQ5120</v>
      </c>
      <c r="C6100" t="s">
        <v>5969</v>
      </c>
    </row>
    <row r="6101" spans="1:3" x14ac:dyDescent="0.25">
      <c r="A6101" t="str">
        <f>"0611835244025"</f>
        <v>0611835244025</v>
      </c>
      <c r="B6101" t="str">
        <f>"MQ0283"</f>
        <v>MQ0283</v>
      </c>
      <c r="C6101" t="s">
        <v>5970</v>
      </c>
    </row>
    <row r="6102" spans="1:3" x14ac:dyDescent="0.25">
      <c r="A6102" t="str">
        <f>"0611835245025"</f>
        <v>0611835245025</v>
      </c>
      <c r="B6102" t="str">
        <f>"MC3356"</f>
        <v>MC3356</v>
      </c>
      <c r="C6102" t="s">
        <v>5971</v>
      </c>
    </row>
    <row r="6103" spans="1:3" x14ac:dyDescent="0.25">
      <c r="A6103" t="str">
        <f>"0611835246025"</f>
        <v>0611835246025</v>
      </c>
      <c r="B6103" t="str">
        <f>"MC4290"</f>
        <v>MC4290</v>
      </c>
      <c r="C6103" t="s">
        <v>5972</v>
      </c>
    </row>
    <row r="6104" spans="1:3" x14ac:dyDescent="0.25">
      <c r="A6104" t="str">
        <f>"0611835247025"</f>
        <v>0611835247025</v>
      </c>
      <c r="B6104" t="str">
        <f>"MQ0284"</f>
        <v>MQ0284</v>
      </c>
      <c r="C6104" t="s">
        <v>5973</v>
      </c>
    </row>
    <row r="6105" spans="1:3" x14ac:dyDescent="0.25">
      <c r="A6105" t="str">
        <f>"0611835248025"</f>
        <v>0611835248025</v>
      </c>
      <c r="B6105" t="str">
        <f>"MC3233"</f>
        <v>MC3233</v>
      </c>
      <c r="C6105" t="s">
        <v>5974</v>
      </c>
    </row>
    <row r="6106" spans="1:3" x14ac:dyDescent="0.25">
      <c r="A6106" t="str">
        <f>"0611835249025"</f>
        <v>0611835249025</v>
      </c>
      <c r="B6106" t="str">
        <f>"MQ3053"</f>
        <v>MQ3053</v>
      </c>
      <c r="C6106" t="s">
        <v>5975</v>
      </c>
    </row>
    <row r="6107" spans="1:3" x14ac:dyDescent="0.25">
      <c r="A6107" t="str">
        <f>"0611835250025"</f>
        <v>0611835250025</v>
      </c>
      <c r="B6107" t="str">
        <f>"MQ3031"</f>
        <v>MQ3031</v>
      </c>
      <c r="C6107" t="s">
        <v>5976</v>
      </c>
    </row>
    <row r="6108" spans="1:3" x14ac:dyDescent="0.25">
      <c r="A6108" t="str">
        <f>"0611835251100"</f>
        <v>0611835251100</v>
      </c>
      <c r="B6108" t="str">
        <f>"LH4583"</f>
        <v>LH4583</v>
      </c>
      <c r="C6108" t="s">
        <v>5977</v>
      </c>
    </row>
    <row r="6109" spans="1:3" x14ac:dyDescent="0.25">
      <c r="A6109" t="str">
        <f>"0611835252025"</f>
        <v>0611835252025</v>
      </c>
      <c r="B6109" t="str">
        <f>"MC0372"</f>
        <v>MC0372</v>
      </c>
      <c r="C6109" t="s">
        <v>5978</v>
      </c>
    </row>
    <row r="6110" spans="1:3" x14ac:dyDescent="0.25">
      <c r="A6110" t="str">
        <f>"0611835253025"</f>
        <v>0611835253025</v>
      </c>
      <c r="B6110" t="str">
        <f>"MC2462"</f>
        <v>MC2462</v>
      </c>
      <c r="C6110" t="s">
        <v>5979</v>
      </c>
    </row>
    <row r="6111" spans="1:3" x14ac:dyDescent="0.25">
      <c r="A6111" t="str">
        <f>"0611835255025"</f>
        <v>0611835255025</v>
      </c>
      <c r="B6111" t="str">
        <f>"MC1216"</f>
        <v>MC1216</v>
      </c>
      <c r="C6111" t="s">
        <v>5980</v>
      </c>
    </row>
    <row r="6112" spans="1:3" x14ac:dyDescent="0.25">
      <c r="A6112" t="str">
        <f>"0611835258025"</f>
        <v>0611835258025</v>
      </c>
      <c r="B6112" t="str">
        <f>"MC1973"</f>
        <v>MC1973</v>
      </c>
      <c r="C6112" t="s">
        <v>5981</v>
      </c>
    </row>
    <row r="6113" spans="1:3" x14ac:dyDescent="0.25">
      <c r="A6113" t="str">
        <f>"0611835260025"</f>
        <v>0611835260025</v>
      </c>
      <c r="B6113" t="str">
        <f>"MC1624"</f>
        <v>MC1624</v>
      </c>
      <c r="C6113" t="s">
        <v>5982</v>
      </c>
    </row>
    <row r="6114" spans="1:3" x14ac:dyDescent="0.25">
      <c r="A6114" t="str">
        <f>"0611835262025"</f>
        <v>0611835262025</v>
      </c>
      <c r="B6114" t="str">
        <f>"MC1218"</f>
        <v>MC1218</v>
      </c>
      <c r="C6114" t="s">
        <v>5983</v>
      </c>
    </row>
    <row r="6115" spans="1:3" x14ac:dyDescent="0.25">
      <c r="A6115" t="str">
        <f>"0611906795025"</f>
        <v>0611906795025</v>
      </c>
      <c r="B6115" t="str">
        <f>"MQ7283"</f>
        <v>MQ7283</v>
      </c>
      <c r="C6115" t="s">
        <v>5984</v>
      </c>
    </row>
    <row r="6116" spans="1:3" x14ac:dyDescent="0.25">
      <c r="A6116" t="str">
        <f>"0611906796025"</f>
        <v>0611906796025</v>
      </c>
      <c r="B6116" t="str">
        <f>"MQ7559"</f>
        <v>MQ7559</v>
      </c>
      <c r="C6116" t="s">
        <v>5985</v>
      </c>
    </row>
    <row r="6117" spans="1:3" x14ac:dyDescent="0.25">
      <c r="A6117" t="str">
        <f>"0611906797025"</f>
        <v>0611906797025</v>
      </c>
      <c r="B6117" t="str">
        <f>"MQ7560"</f>
        <v>MQ7560</v>
      </c>
      <c r="C6117" t="s">
        <v>5986</v>
      </c>
    </row>
    <row r="6118" spans="1:3" x14ac:dyDescent="0.25">
      <c r="A6118" t="str">
        <f>"0611906798025"</f>
        <v>0611906798025</v>
      </c>
      <c r="B6118" t="str">
        <f>"MQ7561"</f>
        <v>MQ7561</v>
      </c>
      <c r="C6118" t="s">
        <v>5987</v>
      </c>
    </row>
    <row r="6119" spans="1:3" x14ac:dyDescent="0.25">
      <c r="A6119" t="str">
        <f>"0611835204025"</f>
        <v>0611835204025</v>
      </c>
      <c r="B6119" t="str">
        <f>"MQ3057"</f>
        <v>MQ3057</v>
      </c>
      <c r="C6119" t="s">
        <v>5988</v>
      </c>
    </row>
    <row r="6120" spans="1:3" x14ac:dyDescent="0.25">
      <c r="A6120" t="str">
        <f>"0611835211025"</f>
        <v>0611835211025</v>
      </c>
      <c r="B6120" t="str">
        <f>"MQ3058"</f>
        <v>MQ3058</v>
      </c>
      <c r="C6120" t="s">
        <v>5989</v>
      </c>
    </row>
    <row r="6121" spans="1:3" x14ac:dyDescent="0.25">
      <c r="A6121" t="str">
        <f>"0611835242025"</f>
        <v>0611835242025</v>
      </c>
      <c r="B6121" t="str">
        <f>"MQ5113"</f>
        <v>MQ5113</v>
      </c>
      <c r="C6121" t="s">
        <v>5990</v>
      </c>
    </row>
    <row r="6122" spans="1:3" x14ac:dyDescent="0.25">
      <c r="A6122" t="str">
        <f>"0611835243025"</f>
        <v>0611835243025</v>
      </c>
      <c r="B6122" t="str">
        <f>"MQ5114"</f>
        <v>MQ5114</v>
      </c>
      <c r="C6122" t="s">
        <v>5991</v>
      </c>
    </row>
    <row r="6123" spans="1:3" x14ac:dyDescent="0.25">
      <c r="A6123" t="str">
        <f>"0611835265025"</f>
        <v>0611835265025</v>
      </c>
      <c r="B6123" t="str">
        <f>"MQ3060"</f>
        <v>MQ3060</v>
      </c>
      <c r="C6123" t="s">
        <v>5992</v>
      </c>
    </row>
    <row r="6124" spans="1:3" x14ac:dyDescent="0.25">
      <c r="A6124" t="str">
        <f>"0611906799025"</f>
        <v>0611906799025</v>
      </c>
      <c r="B6124" t="str">
        <f>"MQ7145"</f>
        <v>MQ7145</v>
      </c>
      <c r="C6124" t="s">
        <v>5993</v>
      </c>
    </row>
    <row r="6125" spans="1:3" x14ac:dyDescent="0.25">
      <c r="A6125" t="str">
        <f>"0611906800025"</f>
        <v>0611906800025</v>
      </c>
      <c r="B6125" t="str">
        <f>"MQ7146"</f>
        <v>MQ7146</v>
      </c>
      <c r="C6125" t="s">
        <v>5994</v>
      </c>
    </row>
    <row r="6126" spans="1:3" x14ac:dyDescent="0.25">
      <c r="A6126" t="str">
        <f>"0611906801025"</f>
        <v>0611906801025</v>
      </c>
      <c r="B6126" t="str">
        <f>"MQ7147"</f>
        <v>MQ7147</v>
      </c>
      <c r="C6126" t="s">
        <v>5995</v>
      </c>
    </row>
    <row r="6127" spans="1:3" x14ac:dyDescent="0.25">
      <c r="A6127" t="str">
        <f>"0611906802025"</f>
        <v>0611906802025</v>
      </c>
      <c r="B6127" t="str">
        <f>"MQ7148"</f>
        <v>MQ7148</v>
      </c>
      <c r="C6127" t="s">
        <v>5996</v>
      </c>
    </row>
    <row r="6128" spans="1:3" x14ac:dyDescent="0.25">
      <c r="A6128" t="str">
        <f>"0611835266100"</f>
        <v>0611835266100</v>
      </c>
      <c r="B6128" t="str">
        <f>"LH4624"</f>
        <v>LH4624</v>
      </c>
      <c r="C6128" t="s">
        <v>5997</v>
      </c>
    </row>
    <row r="6129" spans="1:3" x14ac:dyDescent="0.25">
      <c r="A6129" t="str">
        <f>"0611835267025"</f>
        <v>0611835267025</v>
      </c>
      <c r="B6129" t="str">
        <f>"MC0376"</f>
        <v>MC0376</v>
      </c>
      <c r="C6129" t="s">
        <v>5998</v>
      </c>
    </row>
    <row r="6130" spans="1:3" x14ac:dyDescent="0.25">
      <c r="A6130" t="str">
        <f>"0611835268100"</f>
        <v>0611835268100</v>
      </c>
      <c r="B6130" t="str">
        <f>"LH4625"</f>
        <v>LH4625</v>
      </c>
      <c r="C6130" t="s">
        <v>5999</v>
      </c>
    </row>
    <row r="6131" spans="1:3" x14ac:dyDescent="0.25">
      <c r="A6131" t="str">
        <f>"0611835270100"</f>
        <v>0611835270100</v>
      </c>
      <c r="B6131" t="str">
        <f>"LG2900"</f>
        <v>LG2900</v>
      </c>
      <c r="C6131" t="s">
        <v>6000</v>
      </c>
    </row>
    <row r="6132" spans="1:3" x14ac:dyDescent="0.25">
      <c r="A6132" t="str">
        <f>"0611835285025"</f>
        <v>0611835285025</v>
      </c>
      <c r="B6132" t="str">
        <f>"MC4064"</f>
        <v>MC4064</v>
      </c>
      <c r="C6132" t="s">
        <v>6001</v>
      </c>
    </row>
    <row r="6133" spans="1:3" x14ac:dyDescent="0.25">
      <c r="A6133" t="str">
        <f>"0611835286025"</f>
        <v>0611835286025</v>
      </c>
      <c r="B6133" t="str">
        <f>"MC4065"</f>
        <v>MC4065</v>
      </c>
      <c r="C6133" t="s">
        <v>6002</v>
      </c>
    </row>
    <row r="6134" spans="1:3" x14ac:dyDescent="0.25">
      <c r="A6134" t="str">
        <f>"0611835288025"</f>
        <v>0611835288025</v>
      </c>
      <c r="B6134" t="str">
        <f>"MC4291"</f>
        <v>MC4291</v>
      </c>
      <c r="C6134" t="s">
        <v>6003</v>
      </c>
    </row>
    <row r="6135" spans="1:3" x14ac:dyDescent="0.25">
      <c r="A6135" t="str">
        <f>"0611835289025"</f>
        <v>0611835289025</v>
      </c>
      <c r="B6135" t="str">
        <f>"MC3399"</f>
        <v>MC3399</v>
      </c>
      <c r="C6135" t="s">
        <v>6004</v>
      </c>
    </row>
    <row r="6136" spans="1:3" x14ac:dyDescent="0.25">
      <c r="A6136" t="str">
        <f>"0611835290025"</f>
        <v>0611835290025</v>
      </c>
      <c r="B6136" t="str">
        <f>"MC2650"</f>
        <v>MC2650</v>
      </c>
      <c r="C6136" t="s">
        <v>6005</v>
      </c>
    </row>
    <row r="6137" spans="1:3" x14ac:dyDescent="0.25">
      <c r="A6137" t="str">
        <f>"0611835291100"</f>
        <v>0611835291100</v>
      </c>
      <c r="B6137" t="str">
        <f>"LH4623"</f>
        <v>LH4623</v>
      </c>
      <c r="C6137" t="s">
        <v>6006</v>
      </c>
    </row>
    <row r="6138" spans="1:3" x14ac:dyDescent="0.25">
      <c r="A6138" t="str">
        <f>"0611835292025"</f>
        <v>0611835292025</v>
      </c>
      <c r="B6138" t="str">
        <f>"MC1978"</f>
        <v>MC1978</v>
      </c>
      <c r="C6138" t="s">
        <v>6007</v>
      </c>
    </row>
    <row r="6139" spans="1:3" x14ac:dyDescent="0.25">
      <c r="A6139" t="str">
        <f>"0611835293025"</f>
        <v>0611835293025</v>
      </c>
      <c r="B6139" t="str">
        <f>"MC3192"</f>
        <v>MC3192</v>
      </c>
      <c r="C6139" t="s">
        <v>6008</v>
      </c>
    </row>
    <row r="6140" spans="1:3" x14ac:dyDescent="0.25">
      <c r="A6140" t="str">
        <f>"0611835294025"</f>
        <v>0611835294025</v>
      </c>
      <c r="B6140" t="str">
        <f>"MC2651"</f>
        <v>MC2651</v>
      </c>
      <c r="C6140" t="s">
        <v>6009</v>
      </c>
    </row>
    <row r="6141" spans="1:3" x14ac:dyDescent="0.25">
      <c r="A6141" t="str">
        <f>"0611835295025"</f>
        <v>0611835295025</v>
      </c>
      <c r="B6141" t="str">
        <f>"MC3520"</f>
        <v>MC3520</v>
      </c>
      <c r="C6141" t="s">
        <v>6010</v>
      </c>
    </row>
    <row r="6142" spans="1:3" x14ac:dyDescent="0.25">
      <c r="A6142" t="str">
        <f>"0611835296025"</f>
        <v>0611835296025</v>
      </c>
      <c r="B6142" t="str">
        <f>"MC0878"</f>
        <v>MC0878</v>
      </c>
      <c r="C6142" t="s">
        <v>6011</v>
      </c>
    </row>
    <row r="6143" spans="1:3" x14ac:dyDescent="0.25">
      <c r="A6143" t="str">
        <f>"0611835298100"</f>
        <v>0611835298100</v>
      </c>
      <c r="B6143" t="str">
        <f>"LF1462"</f>
        <v>LF1462</v>
      </c>
      <c r="C6143" t="s">
        <v>6012</v>
      </c>
    </row>
    <row r="6144" spans="1:3" x14ac:dyDescent="0.25">
      <c r="A6144" t="str">
        <f>"0611884250100"</f>
        <v>0611884250100</v>
      </c>
      <c r="B6144" t="str">
        <f>"LQ3902"</f>
        <v>LQ3902</v>
      </c>
      <c r="C6144" t="s">
        <v>6013</v>
      </c>
    </row>
    <row r="6145" spans="1:3" x14ac:dyDescent="0.25">
      <c r="A6145" t="str">
        <f>"0611906803100"</f>
        <v>0611906803100</v>
      </c>
      <c r="B6145" t="str">
        <f>"LK7259"</f>
        <v>LK7259</v>
      </c>
      <c r="C6145" t="s">
        <v>6014</v>
      </c>
    </row>
    <row r="6146" spans="1:3" x14ac:dyDescent="0.25">
      <c r="A6146" t="str">
        <f>"0611836712100"</f>
        <v>0611836712100</v>
      </c>
      <c r="B6146" t="str">
        <f>"LC6960"</f>
        <v>LC6960</v>
      </c>
      <c r="C6146" t="s">
        <v>6015</v>
      </c>
    </row>
    <row r="6147" spans="1:3" x14ac:dyDescent="0.25">
      <c r="A6147" t="str">
        <f>"0611835299025"</f>
        <v>0611835299025</v>
      </c>
      <c r="B6147" t="str">
        <f>"MC1979"</f>
        <v>MC1979</v>
      </c>
      <c r="C6147" t="s">
        <v>6016</v>
      </c>
    </row>
    <row r="6148" spans="1:3" x14ac:dyDescent="0.25">
      <c r="A6148" t="str">
        <f>"0611835300025"</f>
        <v>0611835300025</v>
      </c>
      <c r="B6148" t="str">
        <f>"MC0414"</f>
        <v>MC0414</v>
      </c>
      <c r="C6148" t="s">
        <v>6017</v>
      </c>
    </row>
    <row r="6149" spans="1:3" x14ac:dyDescent="0.25">
      <c r="A6149" t="str">
        <f>"0611835302025"</f>
        <v>0611835302025</v>
      </c>
      <c r="B6149" t="str">
        <f>"MC3996"</f>
        <v>MC3996</v>
      </c>
      <c r="C6149" t="s">
        <v>6018</v>
      </c>
    </row>
    <row r="6150" spans="1:3" x14ac:dyDescent="0.25">
      <c r="A6150" t="str">
        <f>"0611835303025"</f>
        <v>0611835303025</v>
      </c>
      <c r="B6150" t="str">
        <f>"MC0393"</f>
        <v>MC0393</v>
      </c>
      <c r="C6150" t="s">
        <v>6019</v>
      </c>
    </row>
    <row r="6151" spans="1:3" x14ac:dyDescent="0.25">
      <c r="A6151" t="str">
        <f>"0611835304025"</f>
        <v>0611835304025</v>
      </c>
      <c r="B6151" t="str">
        <f>"MC0416"</f>
        <v>MC0416</v>
      </c>
      <c r="C6151" t="s">
        <v>6020</v>
      </c>
    </row>
    <row r="6152" spans="1:3" x14ac:dyDescent="0.25">
      <c r="A6152" t="str">
        <f>"0611835305025"</f>
        <v>0611835305025</v>
      </c>
      <c r="B6152" t="str">
        <f>"MC1980"</f>
        <v>MC1980</v>
      </c>
      <c r="C6152" t="s">
        <v>6021</v>
      </c>
    </row>
    <row r="6153" spans="1:3" x14ac:dyDescent="0.25">
      <c r="A6153" t="str">
        <f>"0611835306025"</f>
        <v>0611835306025</v>
      </c>
      <c r="B6153" t="str">
        <f>"MC3858"</f>
        <v>MC3858</v>
      </c>
      <c r="C6153" t="s">
        <v>6022</v>
      </c>
    </row>
    <row r="6154" spans="1:3" x14ac:dyDescent="0.25">
      <c r="A6154" t="str">
        <f>"0611835307025"</f>
        <v>0611835307025</v>
      </c>
      <c r="B6154" t="str">
        <f>"MC1223"</f>
        <v>MC1223</v>
      </c>
      <c r="C6154" t="s">
        <v>6023</v>
      </c>
    </row>
    <row r="6155" spans="1:3" x14ac:dyDescent="0.25">
      <c r="A6155" t="str">
        <f>"0611835308025"</f>
        <v>0611835308025</v>
      </c>
      <c r="B6155" t="str">
        <f>"MC1224"</f>
        <v>MC1224</v>
      </c>
      <c r="C6155" t="s">
        <v>6024</v>
      </c>
    </row>
    <row r="6156" spans="1:3" x14ac:dyDescent="0.25">
      <c r="A6156" t="str">
        <f>"0611835309025"</f>
        <v>0611835309025</v>
      </c>
      <c r="B6156" t="str">
        <f>"MC4215"</f>
        <v>MC4215</v>
      </c>
      <c r="C6156" t="s">
        <v>6025</v>
      </c>
    </row>
    <row r="6157" spans="1:3" x14ac:dyDescent="0.25">
      <c r="A6157" t="str">
        <f>"0611835310025"</f>
        <v>0611835310025</v>
      </c>
      <c r="B6157" t="str">
        <f>"MC0394"</f>
        <v>MC0394</v>
      </c>
      <c r="C6157" t="s">
        <v>6026</v>
      </c>
    </row>
    <row r="6158" spans="1:3" x14ac:dyDescent="0.25">
      <c r="A6158" t="str">
        <f>"0611835311025"</f>
        <v>0611835311025</v>
      </c>
      <c r="B6158" t="str">
        <f>"MC3978"</f>
        <v>MC3978</v>
      </c>
      <c r="C6158" t="s">
        <v>6027</v>
      </c>
    </row>
    <row r="6159" spans="1:3" x14ac:dyDescent="0.25">
      <c r="A6159" t="str">
        <f>"0611835312025"</f>
        <v>0611835312025</v>
      </c>
      <c r="B6159" t="str">
        <f>"MQ0508"</f>
        <v>MQ0508</v>
      </c>
      <c r="C6159" t="s">
        <v>6028</v>
      </c>
    </row>
    <row r="6160" spans="1:3" x14ac:dyDescent="0.25">
      <c r="A6160" t="str">
        <f>"0611835313025"</f>
        <v>0611835313025</v>
      </c>
      <c r="B6160" t="str">
        <f>"MC3997"</f>
        <v>MC3997</v>
      </c>
      <c r="C6160" t="s">
        <v>6029</v>
      </c>
    </row>
    <row r="6161" spans="1:3" x14ac:dyDescent="0.25">
      <c r="A6161" t="str">
        <f>"0611835314025"</f>
        <v>0611835314025</v>
      </c>
      <c r="B6161" t="str">
        <f>"MC1981"</f>
        <v>MC1981</v>
      </c>
      <c r="C6161" t="s">
        <v>6030</v>
      </c>
    </row>
    <row r="6162" spans="1:3" x14ac:dyDescent="0.25">
      <c r="A6162" t="str">
        <f>"0611835316025"</f>
        <v>0611835316025</v>
      </c>
      <c r="B6162" t="str">
        <f>"MC4058"</f>
        <v>MC4058</v>
      </c>
      <c r="C6162" t="s">
        <v>6031</v>
      </c>
    </row>
    <row r="6163" spans="1:3" x14ac:dyDescent="0.25">
      <c r="A6163" t="str">
        <f>"0611835317025"</f>
        <v>0611835317025</v>
      </c>
      <c r="B6163" t="str">
        <f>"MC3740"</f>
        <v>MC3740</v>
      </c>
      <c r="C6163" t="s">
        <v>6032</v>
      </c>
    </row>
    <row r="6164" spans="1:3" x14ac:dyDescent="0.25">
      <c r="A6164" t="str">
        <f>"0611835319025"</f>
        <v>0611835319025</v>
      </c>
      <c r="B6164" t="str">
        <f>"MC3981"</f>
        <v>MC3981</v>
      </c>
      <c r="C6164" t="s">
        <v>6033</v>
      </c>
    </row>
    <row r="6165" spans="1:3" x14ac:dyDescent="0.25">
      <c r="A6165" t="str">
        <f>"0611835320025"</f>
        <v>0611835320025</v>
      </c>
      <c r="B6165" t="str">
        <f>"MC0420"</f>
        <v>MC0420</v>
      </c>
      <c r="C6165" t="s">
        <v>6034</v>
      </c>
    </row>
    <row r="6166" spans="1:3" x14ac:dyDescent="0.25">
      <c r="A6166" t="str">
        <f>"0611835321025"</f>
        <v>0611835321025</v>
      </c>
      <c r="B6166" t="str">
        <f>"MC2468"</f>
        <v>MC2468</v>
      </c>
      <c r="C6166" t="s">
        <v>6035</v>
      </c>
    </row>
    <row r="6167" spans="1:3" x14ac:dyDescent="0.25">
      <c r="A6167" t="str">
        <f>"0611835322025"</f>
        <v>0611835322025</v>
      </c>
      <c r="B6167" t="str">
        <f>"MC3982"</f>
        <v>MC3982</v>
      </c>
      <c r="C6167" t="s">
        <v>6036</v>
      </c>
    </row>
    <row r="6168" spans="1:3" x14ac:dyDescent="0.25">
      <c r="A6168" t="str">
        <f>"0611835323025"</f>
        <v>0611835323025</v>
      </c>
      <c r="B6168" t="str">
        <f>"MC3513"</f>
        <v>MC3513</v>
      </c>
      <c r="C6168" t="s">
        <v>6037</v>
      </c>
    </row>
    <row r="6169" spans="1:3" x14ac:dyDescent="0.25">
      <c r="A6169" t="str">
        <f>"0611835324025"</f>
        <v>0611835324025</v>
      </c>
      <c r="B6169" t="str">
        <f>"MC2732"</f>
        <v>MC2732</v>
      </c>
      <c r="C6169" t="s">
        <v>6038</v>
      </c>
    </row>
    <row r="6170" spans="1:3" x14ac:dyDescent="0.25">
      <c r="A6170" t="str">
        <f>"0611835325025"</f>
        <v>0611835325025</v>
      </c>
      <c r="B6170" t="str">
        <f>"MC0396"</f>
        <v>MC0396</v>
      </c>
      <c r="C6170" t="s">
        <v>6039</v>
      </c>
    </row>
    <row r="6171" spans="1:3" x14ac:dyDescent="0.25">
      <c r="A6171" t="str">
        <f>"0611835326025"</f>
        <v>0611835326025</v>
      </c>
      <c r="B6171" t="str">
        <f>"MC0397"</f>
        <v>MC0397</v>
      </c>
      <c r="C6171" t="s">
        <v>6040</v>
      </c>
    </row>
    <row r="6172" spans="1:3" x14ac:dyDescent="0.25">
      <c r="A6172" t="str">
        <f>"0611884251025"</f>
        <v>0611884251025</v>
      </c>
      <c r="B6172" t="str">
        <f>"MC4523"</f>
        <v>MC4523</v>
      </c>
      <c r="C6172" t="s">
        <v>6041</v>
      </c>
    </row>
    <row r="6173" spans="1:3" x14ac:dyDescent="0.25">
      <c r="A6173" t="str">
        <f>"0611835333025"</f>
        <v>0611835333025</v>
      </c>
      <c r="B6173" t="str">
        <f>"MC0413"</f>
        <v>MC0413</v>
      </c>
      <c r="C6173" t="s">
        <v>6042</v>
      </c>
    </row>
    <row r="6174" spans="1:3" x14ac:dyDescent="0.25">
      <c r="A6174" t="str">
        <f>"0611835327025"</f>
        <v>0611835327025</v>
      </c>
      <c r="B6174" t="str">
        <f>"MC0400"</f>
        <v>MC0400</v>
      </c>
      <c r="C6174" t="s">
        <v>6043</v>
      </c>
    </row>
    <row r="6175" spans="1:3" x14ac:dyDescent="0.25">
      <c r="A6175" t="str">
        <f>"0611835328025"</f>
        <v>0611835328025</v>
      </c>
      <c r="B6175" t="str">
        <f>"MC0401"</f>
        <v>MC0401</v>
      </c>
      <c r="C6175" t="s">
        <v>6044</v>
      </c>
    </row>
    <row r="6176" spans="1:3" x14ac:dyDescent="0.25">
      <c r="A6176" t="str">
        <f>"0611835329025"</f>
        <v>0611835329025</v>
      </c>
      <c r="B6176" t="str">
        <f>"MC0879"</f>
        <v>MC0879</v>
      </c>
      <c r="C6176" t="s">
        <v>6045</v>
      </c>
    </row>
    <row r="6177" spans="1:3" x14ac:dyDescent="0.25">
      <c r="A6177" t="str">
        <f>"0611835330025"</f>
        <v>0611835330025</v>
      </c>
      <c r="B6177" t="str">
        <f>"MC3893"</f>
        <v>MC3893</v>
      </c>
      <c r="C6177" t="s">
        <v>6046</v>
      </c>
    </row>
    <row r="6178" spans="1:3" x14ac:dyDescent="0.25">
      <c r="A6178" t="str">
        <f>"0611835331025"</f>
        <v>0611835331025</v>
      </c>
      <c r="B6178" t="str">
        <f>"MC4059"</f>
        <v>MC4059</v>
      </c>
      <c r="C6178" t="s">
        <v>6047</v>
      </c>
    </row>
    <row r="6179" spans="1:3" x14ac:dyDescent="0.25">
      <c r="A6179" t="str">
        <f>"0611835332025"</f>
        <v>0611835332025</v>
      </c>
      <c r="B6179" t="str">
        <f>"MC0403"</f>
        <v>MC0403</v>
      </c>
      <c r="C6179" t="s">
        <v>6048</v>
      </c>
    </row>
    <row r="6180" spans="1:3" x14ac:dyDescent="0.25">
      <c r="A6180" t="str">
        <f>"0611835334025"</f>
        <v>0611835334025</v>
      </c>
      <c r="B6180" t="str">
        <f>"MC0417"</f>
        <v>MC0417</v>
      </c>
      <c r="C6180" t="s">
        <v>6049</v>
      </c>
    </row>
    <row r="6181" spans="1:3" x14ac:dyDescent="0.25">
      <c r="A6181" t="str">
        <f>"0611835335025"</f>
        <v>0611835335025</v>
      </c>
      <c r="B6181" t="str">
        <f>"MC1234"</f>
        <v>MC1234</v>
      </c>
      <c r="C6181" t="s">
        <v>6050</v>
      </c>
    </row>
    <row r="6182" spans="1:3" x14ac:dyDescent="0.25">
      <c r="A6182" t="str">
        <f>"0611835336025"</f>
        <v>0611835336025</v>
      </c>
      <c r="B6182" t="str">
        <f>"MC0405"</f>
        <v>MC0405</v>
      </c>
      <c r="C6182" t="s">
        <v>6051</v>
      </c>
    </row>
    <row r="6183" spans="1:3" x14ac:dyDescent="0.25">
      <c r="A6183" t="str">
        <f>"0611835338025"</f>
        <v>0611835338025</v>
      </c>
      <c r="B6183" t="str">
        <f>"MC2733"</f>
        <v>MC2733</v>
      </c>
      <c r="C6183" t="s">
        <v>6052</v>
      </c>
    </row>
    <row r="6184" spans="1:3" x14ac:dyDescent="0.25">
      <c r="A6184" t="str">
        <f>"0611835340025"</f>
        <v>0611835340025</v>
      </c>
      <c r="B6184" t="str">
        <f>"MC1460"</f>
        <v>MC1460</v>
      </c>
      <c r="C6184" t="s">
        <v>6053</v>
      </c>
    </row>
    <row r="6185" spans="1:3" x14ac:dyDescent="0.25">
      <c r="A6185" t="str">
        <f>"0611884252025"</f>
        <v>0611884252025</v>
      </c>
      <c r="B6185" t="str">
        <f>"MC4524"</f>
        <v>MC4524</v>
      </c>
      <c r="C6185" t="s">
        <v>6054</v>
      </c>
    </row>
    <row r="6186" spans="1:3" x14ac:dyDescent="0.25">
      <c r="A6186" t="str">
        <f>"0611835341025"</f>
        <v>0611835341025</v>
      </c>
      <c r="B6186" t="str">
        <f>"MC3565"</f>
        <v>MC3565</v>
      </c>
      <c r="C6186" t="s">
        <v>6055</v>
      </c>
    </row>
    <row r="6187" spans="1:3" x14ac:dyDescent="0.25">
      <c r="A6187" t="str">
        <f>"0611835342100"</f>
        <v>0611835342100</v>
      </c>
      <c r="B6187" t="str">
        <f>"LH4834"</f>
        <v>LH4834</v>
      </c>
      <c r="C6187" t="s">
        <v>6056</v>
      </c>
    </row>
    <row r="6188" spans="1:3" x14ac:dyDescent="0.25">
      <c r="A6188" t="str">
        <f>"0611835343025"</f>
        <v>0611835343025</v>
      </c>
      <c r="B6188" t="str">
        <f>"MC0406"</f>
        <v>MC0406</v>
      </c>
      <c r="C6188" t="s">
        <v>6057</v>
      </c>
    </row>
    <row r="6189" spans="1:3" x14ac:dyDescent="0.25">
      <c r="A6189" t="str">
        <f>"0611835344025"</f>
        <v>0611835344025</v>
      </c>
      <c r="B6189" t="str">
        <f>"MC0880"</f>
        <v>MC0880</v>
      </c>
      <c r="C6189" t="s">
        <v>6058</v>
      </c>
    </row>
    <row r="6190" spans="1:3" x14ac:dyDescent="0.25">
      <c r="A6190" t="str">
        <f>"0611835345025"</f>
        <v>0611835345025</v>
      </c>
      <c r="B6190" t="str">
        <f>"MC3517"</f>
        <v>MC3517</v>
      </c>
      <c r="C6190" t="s">
        <v>6059</v>
      </c>
    </row>
    <row r="6191" spans="1:3" x14ac:dyDescent="0.25">
      <c r="A6191" t="str">
        <f>"0611835347025"</f>
        <v>0611835347025</v>
      </c>
      <c r="B6191" t="str">
        <f>"MC3566"</f>
        <v>MC3566</v>
      </c>
      <c r="C6191" t="s">
        <v>6060</v>
      </c>
    </row>
    <row r="6192" spans="1:3" x14ac:dyDescent="0.25">
      <c r="A6192" t="str">
        <f>"0611835348025"</f>
        <v>0611835348025</v>
      </c>
      <c r="B6192" t="str">
        <f>"MC2470"</f>
        <v>MC2470</v>
      </c>
      <c r="C6192" t="s">
        <v>6061</v>
      </c>
    </row>
    <row r="6193" spans="1:3" x14ac:dyDescent="0.25">
      <c r="A6193" t="str">
        <f>"0611835349025"</f>
        <v>0611835349025</v>
      </c>
      <c r="B6193" t="str">
        <f>"MC3986"</f>
        <v>MC3986</v>
      </c>
      <c r="C6193" t="s">
        <v>6062</v>
      </c>
    </row>
    <row r="6194" spans="1:3" x14ac:dyDescent="0.25">
      <c r="A6194" t="str">
        <f>"0611835350025"</f>
        <v>0611835350025</v>
      </c>
      <c r="B6194" t="str">
        <f>"MC0388"</f>
        <v>MC0388</v>
      </c>
      <c r="C6194" t="s">
        <v>6063</v>
      </c>
    </row>
    <row r="6195" spans="1:3" x14ac:dyDescent="0.25">
      <c r="A6195" t="str">
        <f>"0611835352025"</f>
        <v>0611835352025</v>
      </c>
      <c r="B6195" t="str">
        <f>"MC0408"</f>
        <v>MC0408</v>
      </c>
      <c r="C6195" t="s">
        <v>6064</v>
      </c>
    </row>
    <row r="6196" spans="1:3" x14ac:dyDescent="0.25">
      <c r="A6196" t="str">
        <f>"0611835354025"</f>
        <v>0611835354025</v>
      </c>
      <c r="B6196" t="str">
        <f>"MC0389"</f>
        <v>MC0389</v>
      </c>
      <c r="C6196" t="s">
        <v>6065</v>
      </c>
    </row>
    <row r="6197" spans="1:3" x14ac:dyDescent="0.25">
      <c r="A6197" t="str">
        <f>"0611835355025"</f>
        <v>0611835355025</v>
      </c>
      <c r="B6197" t="str">
        <f>"MC3195"</f>
        <v>MC3195</v>
      </c>
      <c r="C6197" t="s">
        <v>6066</v>
      </c>
    </row>
    <row r="6198" spans="1:3" x14ac:dyDescent="0.25">
      <c r="A6198" t="str">
        <f>"0611835356025"</f>
        <v>0611835356025</v>
      </c>
      <c r="B6198" t="str">
        <f>"MC0411"</f>
        <v>MC0411</v>
      </c>
      <c r="C6198" t="s">
        <v>6067</v>
      </c>
    </row>
    <row r="6199" spans="1:3" x14ac:dyDescent="0.25">
      <c r="A6199" t="str">
        <f>"0611835357025"</f>
        <v>0611835357025</v>
      </c>
      <c r="B6199" t="str">
        <f>"MC4061"</f>
        <v>MC4061</v>
      </c>
      <c r="C6199" t="s">
        <v>6068</v>
      </c>
    </row>
    <row r="6200" spans="1:3" x14ac:dyDescent="0.25">
      <c r="A6200" t="str">
        <f>"0611835358025"</f>
        <v>0611835358025</v>
      </c>
      <c r="B6200" t="str">
        <f>"MC0421"</f>
        <v>MC0421</v>
      </c>
      <c r="C6200" t="s">
        <v>6069</v>
      </c>
    </row>
    <row r="6201" spans="1:3" x14ac:dyDescent="0.25">
      <c r="A6201" t="str">
        <f>"0611835359025"</f>
        <v>0611835359025</v>
      </c>
      <c r="B6201" t="str">
        <f>"MC0422"</f>
        <v>MC0422</v>
      </c>
      <c r="C6201" t="s">
        <v>6070</v>
      </c>
    </row>
    <row r="6202" spans="1:3" x14ac:dyDescent="0.25">
      <c r="A6202" t="str">
        <f>"0611835361025"</f>
        <v>0611835361025</v>
      </c>
      <c r="B6202" t="str">
        <f>"MC0412"</f>
        <v>MC0412</v>
      </c>
      <c r="C6202" t="s">
        <v>6071</v>
      </c>
    </row>
    <row r="6203" spans="1:3" x14ac:dyDescent="0.25">
      <c r="A6203" t="str">
        <f>"0611862572100"</f>
        <v>0611862572100</v>
      </c>
      <c r="B6203" t="str">
        <f>"CN5201"</f>
        <v>CN5201</v>
      </c>
      <c r="C6203" t="s">
        <v>6072</v>
      </c>
    </row>
    <row r="6204" spans="1:3" x14ac:dyDescent="0.25">
      <c r="A6204" t="str">
        <f>"0611835363025"</f>
        <v>0611835363025</v>
      </c>
      <c r="B6204" t="str">
        <f>"MC0424"</f>
        <v>MC0424</v>
      </c>
      <c r="C6204" t="s">
        <v>6073</v>
      </c>
    </row>
    <row r="6205" spans="1:3" x14ac:dyDescent="0.25">
      <c r="A6205" t="str">
        <f>"0611862573050"</f>
        <v>0611862573050</v>
      </c>
      <c r="B6205" t="str">
        <f>"CR4324"</f>
        <v>CR4324</v>
      </c>
      <c r="C6205" t="s">
        <v>6074</v>
      </c>
    </row>
    <row r="6206" spans="1:3" x14ac:dyDescent="0.25">
      <c r="A6206" t="str">
        <f>"0611835915100"</f>
        <v>0611835915100</v>
      </c>
      <c r="B6206" t="str">
        <f>"LK0186"</f>
        <v>LK0186</v>
      </c>
      <c r="C6206" t="s">
        <v>6075</v>
      </c>
    </row>
    <row r="6207" spans="1:3" x14ac:dyDescent="0.25">
      <c r="A6207" t="str">
        <f>"0611835364100"</f>
        <v>0611835364100</v>
      </c>
      <c r="B6207" t="str">
        <f>"LG3001"</f>
        <v>LG3001</v>
      </c>
      <c r="C6207" t="s">
        <v>6076</v>
      </c>
    </row>
    <row r="6208" spans="1:3" x14ac:dyDescent="0.25">
      <c r="A6208" t="str">
        <f>"0611835365100"</f>
        <v>0611835365100</v>
      </c>
      <c r="B6208" t="str">
        <f>"LG3007"</f>
        <v>LG3007</v>
      </c>
      <c r="C6208" t="s">
        <v>6077</v>
      </c>
    </row>
    <row r="6209" spans="1:3" x14ac:dyDescent="0.25">
      <c r="A6209" t="str">
        <f>"0611835366100"</f>
        <v>0611835366100</v>
      </c>
      <c r="B6209" t="str">
        <f>"LG3000"</f>
        <v>LG3000</v>
      </c>
      <c r="C6209" t="s">
        <v>6078</v>
      </c>
    </row>
    <row r="6210" spans="1:3" x14ac:dyDescent="0.25">
      <c r="A6210" t="str">
        <f>"0611836863100"</f>
        <v>0611836863100</v>
      </c>
      <c r="B6210" t="str">
        <f>"LG3004"</f>
        <v>LG3004</v>
      </c>
      <c r="C6210" t="s">
        <v>6079</v>
      </c>
    </row>
    <row r="6211" spans="1:3" x14ac:dyDescent="0.25">
      <c r="A6211" t="str">
        <f>"0611835367100"</f>
        <v>0611835367100</v>
      </c>
      <c r="B6211" t="str">
        <f>"LG3002"</f>
        <v>LG3002</v>
      </c>
      <c r="C6211" t="s">
        <v>6080</v>
      </c>
    </row>
    <row r="6212" spans="1:3" x14ac:dyDescent="0.25">
      <c r="A6212" t="str">
        <f>"0611856988100"</f>
        <v>0611856988100</v>
      </c>
      <c r="B6212" t="str">
        <f>"LG1008"</f>
        <v>LG1008</v>
      </c>
      <c r="C6212" t="s">
        <v>6081</v>
      </c>
    </row>
    <row r="6213" spans="1:3" x14ac:dyDescent="0.25">
      <c r="A6213" t="str">
        <f>"0611856989100"</f>
        <v>0611856989100</v>
      </c>
      <c r="B6213" t="str">
        <f>"LG1009"</f>
        <v>LG1009</v>
      </c>
      <c r="C6213" t="s">
        <v>6082</v>
      </c>
    </row>
    <row r="6214" spans="1:3" x14ac:dyDescent="0.25">
      <c r="A6214" t="str">
        <f>"0611835916100"</f>
        <v>0611835916100</v>
      </c>
      <c r="B6214" t="str">
        <f>"LB0210"</f>
        <v>LB0210</v>
      </c>
      <c r="C6214" t="s">
        <v>6083</v>
      </c>
    </row>
    <row r="6215" spans="1:3" x14ac:dyDescent="0.25">
      <c r="A6215" t="str">
        <f>"0611835368100"</f>
        <v>0611835368100</v>
      </c>
      <c r="B6215" t="str">
        <f>"LG3003"</f>
        <v>LG3003</v>
      </c>
      <c r="C6215" t="s">
        <v>6084</v>
      </c>
    </row>
    <row r="6216" spans="1:3" x14ac:dyDescent="0.25">
      <c r="A6216" t="str">
        <f>"0611835369100"</f>
        <v>0611835369100</v>
      </c>
      <c r="B6216" t="str">
        <f>"LG3500"</f>
        <v>LG3500</v>
      </c>
      <c r="C6216" t="s">
        <v>6085</v>
      </c>
    </row>
    <row r="6217" spans="1:3" x14ac:dyDescent="0.25">
      <c r="A6217" t="str">
        <f>"0611835370025"</f>
        <v>0611835370025</v>
      </c>
      <c r="B6217" t="str">
        <f>"MC3464"</f>
        <v>MC3464</v>
      </c>
      <c r="C6217" t="s">
        <v>6086</v>
      </c>
    </row>
    <row r="6218" spans="1:3" x14ac:dyDescent="0.25">
      <c r="A6218" t="str">
        <f>"0611862574050"</f>
        <v>0611862574050</v>
      </c>
      <c r="B6218" t="str">
        <f>"CE1708"</f>
        <v>CE1708</v>
      </c>
      <c r="C6218" t="s">
        <v>6087</v>
      </c>
    </row>
    <row r="6219" spans="1:3" x14ac:dyDescent="0.25">
      <c r="A6219" t="str">
        <f>"0611862575050"</f>
        <v>0611862575050</v>
      </c>
      <c r="B6219" t="str">
        <f>"CE1586"</f>
        <v>CE1586</v>
      </c>
      <c r="C6219" t="s">
        <v>6088</v>
      </c>
    </row>
    <row r="6220" spans="1:3" x14ac:dyDescent="0.25">
      <c r="A6220" t="str">
        <f>"0611862576050"</f>
        <v>0611862576050</v>
      </c>
      <c r="B6220" t="str">
        <f>"CE1709"</f>
        <v>CE1709</v>
      </c>
      <c r="C6220" t="s">
        <v>6089</v>
      </c>
    </row>
    <row r="6221" spans="1:3" x14ac:dyDescent="0.25">
      <c r="A6221" t="str">
        <f>"0611862577050"</f>
        <v>0611862577050</v>
      </c>
      <c r="B6221" t="str">
        <f>"CE1585"</f>
        <v>CE1585</v>
      </c>
      <c r="C6221" t="s">
        <v>6090</v>
      </c>
    </row>
    <row r="6222" spans="1:3" x14ac:dyDescent="0.25">
      <c r="A6222" t="str">
        <f>"0611862578050"</f>
        <v>0611862578050</v>
      </c>
      <c r="B6222" t="str">
        <f>"CE1584"</f>
        <v>CE1584</v>
      </c>
      <c r="C6222" t="s">
        <v>6091</v>
      </c>
    </row>
    <row r="6223" spans="1:3" x14ac:dyDescent="0.25">
      <c r="A6223" t="str">
        <f>"0611862579050"</f>
        <v>0611862579050</v>
      </c>
      <c r="B6223" t="str">
        <f>"CE1587"</f>
        <v>CE1587</v>
      </c>
      <c r="C6223" t="s">
        <v>6092</v>
      </c>
    </row>
    <row r="6224" spans="1:3" x14ac:dyDescent="0.25">
      <c r="A6224" t="str">
        <f>"0611835371025"</f>
        <v>0611835371025</v>
      </c>
      <c r="B6224" t="str">
        <f>"MC0426"</f>
        <v>MC0426</v>
      </c>
      <c r="C6224" t="s">
        <v>6093</v>
      </c>
    </row>
    <row r="6225" spans="1:3" x14ac:dyDescent="0.25">
      <c r="A6225" t="str">
        <f>"0611835372100"</f>
        <v>0611835372100</v>
      </c>
      <c r="B6225" t="str">
        <f>"LC6950"</f>
        <v>LC6950</v>
      </c>
      <c r="C6225" t="s">
        <v>6094</v>
      </c>
    </row>
    <row r="6226" spans="1:3" x14ac:dyDescent="0.25">
      <c r="A6226" t="str">
        <f>"0611835373100"</f>
        <v>0611835373100</v>
      </c>
      <c r="B6226" t="str">
        <f>"LH0014"</f>
        <v>LH0014</v>
      </c>
      <c r="C6226" t="s">
        <v>6095</v>
      </c>
    </row>
    <row r="6227" spans="1:3" x14ac:dyDescent="0.25">
      <c r="A6227" t="str">
        <f>"0611835374100"</f>
        <v>0611835374100</v>
      </c>
      <c r="B6227" t="str">
        <f>"LK4659"</f>
        <v>LK4659</v>
      </c>
      <c r="C6227" t="s">
        <v>6096</v>
      </c>
    </row>
    <row r="6228" spans="1:3" x14ac:dyDescent="0.25">
      <c r="A6228" t="str">
        <f>"0611835375100"</f>
        <v>0611835375100</v>
      </c>
      <c r="B6228" t="str">
        <f>"LF4870"</f>
        <v>LF4870</v>
      </c>
      <c r="C6228" t="s">
        <v>6097</v>
      </c>
    </row>
    <row r="6229" spans="1:3" x14ac:dyDescent="0.25">
      <c r="A6229" t="str">
        <f>"0611835376100"</f>
        <v>0611835376100</v>
      </c>
      <c r="B6229" t="str">
        <f>"LF3484"</f>
        <v>LF3484</v>
      </c>
      <c r="C6229" t="s">
        <v>6098</v>
      </c>
    </row>
    <row r="6230" spans="1:3" x14ac:dyDescent="0.25">
      <c r="A6230" t="str">
        <f>"0611835377100"</f>
        <v>0611835377100</v>
      </c>
      <c r="B6230" t="str">
        <f>"LF3482"</f>
        <v>LF3482</v>
      </c>
      <c r="C6230" t="s">
        <v>6099</v>
      </c>
    </row>
    <row r="6231" spans="1:3" x14ac:dyDescent="0.25">
      <c r="A6231" t="str">
        <f>"0611835378100"</f>
        <v>0611835378100</v>
      </c>
      <c r="B6231" t="str">
        <f>"LF3483"</f>
        <v>LF3483</v>
      </c>
      <c r="C6231" t="s">
        <v>6100</v>
      </c>
    </row>
    <row r="6232" spans="1:3" x14ac:dyDescent="0.25">
      <c r="A6232" t="str">
        <f>"0611835381100"</f>
        <v>0611835381100</v>
      </c>
      <c r="B6232" t="str">
        <f>"LB3251"</f>
        <v>LB3251</v>
      </c>
      <c r="C6232" t="s">
        <v>6102</v>
      </c>
    </row>
    <row r="6233" spans="1:3" x14ac:dyDescent="0.25">
      <c r="A6233" t="str">
        <f>"0611884253100"</f>
        <v>0611884253100</v>
      </c>
      <c r="B6233" t="str">
        <f>"LF3480"</f>
        <v>LF3480</v>
      </c>
      <c r="C6233" t="s">
        <v>6103</v>
      </c>
    </row>
    <row r="6234" spans="1:3" x14ac:dyDescent="0.25">
      <c r="A6234" t="str">
        <f>"0611884254100"</f>
        <v>0611884254100</v>
      </c>
      <c r="B6234" t="str">
        <f>"LQ3916"</f>
        <v>LQ3916</v>
      </c>
      <c r="C6234" t="s">
        <v>6101</v>
      </c>
    </row>
    <row r="6235" spans="1:3" x14ac:dyDescent="0.25">
      <c r="A6235" t="str">
        <f>"0611835382100"</f>
        <v>0611835382100</v>
      </c>
      <c r="B6235" t="str">
        <f>"LK4764"</f>
        <v>LK4764</v>
      </c>
      <c r="C6235" t="s">
        <v>6104</v>
      </c>
    </row>
    <row r="6236" spans="1:3" x14ac:dyDescent="0.25">
      <c r="A6236" t="str">
        <f>"0611835383100"</f>
        <v>0611835383100</v>
      </c>
      <c r="B6236" t="str">
        <f>"LB3252"</f>
        <v>LB3252</v>
      </c>
      <c r="C6236" t="s">
        <v>6105</v>
      </c>
    </row>
    <row r="6237" spans="1:3" x14ac:dyDescent="0.25">
      <c r="A6237" t="str">
        <f>"0611835384100"</f>
        <v>0611835384100</v>
      </c>
      <c r="B6237" t="str">
        <f>"LB3253"</f>
        <v>LB3253</v>
      </c>
      <c r="C6237" t="s">
        <v>6106</v>
      </c>
    </row>
    <row r="6238" spans="1:3" x14ac:dyDescent="0.25">
      <c r="A6238" t="str">
        <f>"0611835385100"</f>
        <v>0611835385100</v>
      </c>
      <c r="B6238" t="str">
        <f>"LB3254"</f>
        <v>LB3254</v>
      </c>
      <c r="C6238" t="s">
        <v>6107</v>
      </c>
    </row>
    <row r="6239" spans="1:3" x14ac:dyDescent="0.25">
      <c r="A6239" t="str">
        <f>"0611835386100"</f>
        <v>0611835386100</v>
      </c>
      <c r="B6239" t="str">
        <f>"LB3249"</f>
        <v>LB3249</v>
      </c>
      <c r="C6239" t="s">
        <v>6108</v>
      </c>
    </row>
    <row r="6240" spans="1:3" x14ac:dyDescent="0.25">
      <c r="A6240" t="str">
        <f>"0611835387100"</f>
        <v>0611835387100</v>
      </c>
      <c r="B6240" t="str">
        <f>"LC6970"</f>
        <v>LC6970</v>
      </c>
      <c r="C6240" t="s">
        <v>6110</v>
      </c>
    </row>
    <row r="6241" spans="1:3" x14ac:dyDescent="0.25">
      <c r="A6241" t="str">
        <f>"0611884255025"</f>
        <v>0611884255025</v>
      </c>
      <c r="B6241" t="str">
        <f>"MC4477"</f>
        <v>MC4477</v>
      </c>
      <c r="C6241" t="s">
        <v>6109</v>
      </c>
    </row>
    <row r="6242" spans="1:3" x14ac:dyDescent="0.25">
      <c r="A6242" t="str">
        <f>"0611862580050"</f>
        <v>0611862580050</v>
      </c>
      <c r="B6242" t="str">
        <f>"CR4327"</f>
        <v>CR4327</v>
      </c>
      <c r="C6242" t="s">
        <v>6111</v>
      </c>
    </row>
    <row r="6243" spans="1:3" x14ac:dyDescent="0.25">
      <c r="A6243" t="str">
        <f>"0611906804025"</f>
        <v>0611906804025</v>
      </c>
      <c r="B6243" t="str">
        <f>"MQ7592"</f>
        <v>MQ7592</v>
      </c>
      <c r="C6243" t="s">
        <v>6112</v>
      </c>
    </row>
    <row r="6244" spans="1:3" x14ac:dyDescent="0.25">
      <c r="A6244" t="str">
        <f>"0611893605100"</f>
        <v>0611893605100</v>
      </c>
      <c r="B6244" t="str">
        <f>"CN5457"</f>
        <v>CN5457</v>
      </c>
      <c r="C6244" t="s">
        <v>6113</v>
      </c>
    </row>
    <row r="6245" spans="1:3" x14ac:dyDescent="0.25">
      <c r="A6245" t="str">
        <f>"0611835389025"</f>
        <v>0611835389025</v>
      </c>
      <c r="B6245" t="str">
        <f>"MQ6039"</f>
        <v>MQ6039</v>
      </c>
      <c r="C6245" t="s">
        <v>6114</v>
      </c>
    </row>
    <row r="6246" spans="1:3" x14ac:dyDescent="0.25">
      <c r="A6246" t="str">
        <f>"0611835390025"</f>
        <v>0611835390025</v>
      </c>
      <c r="B6246" t="str">
        <f>"MQ6040"</f>
        <v>MQ6040</v>
      </c>
      <c r="C6246" t="s">
        <v>6115</v>
      </c>
    </row>
    <row r="6247" spans="1:3" x14ac:dyDescent="0.25">
      <c r="A6247" t="str">
        <f>"0611906805025"</f>
        <v>0611906805025</v>
      </c>
      <c r="B6247" t="str">
        <f>"MQ7593"</f>
        <v>MQ7593</v>
      </c>
      <c r="C6247" t="s">
        <v>6116</v>
      </c>
    </row>
    <row r="6248" spans="1:3" x14ac:dyDescent="0.25">
      <c r="A6248" t="str">
        <f>"0611835391025"</f>
        <v>0611835391025</v>
      </c>
      <c r="B6248" t="str">
        <f>"MQ6041"</f>
        <v>MQ6041</v>
      </c>
      <c r="C6248" t="s">
        <v>6117</v>
      </c>
    </row>
    <row r="6249" spans="1:3" x14ac:dyDescent="0.25">
      <c r="A6249" t="str">
        <f>"0611862581050"</f>
        <v>0611862581050</v>
      </c>
      <c r="B6249" t="str">
        <f>"CR4330"</f>
        <v>CR4330</v>
      </c>
      <c r="C6249" t="s">
        <v>6118</v>
      </c>
    </row>
    <row r="6250" spans="1:3" x14ac:dyDescent="0.25">
      <c r="A6250" t="str">
        <f>"0611835394025"</f>
        <v>0611835394025</v>
      </c>
      <c r="B6250" t="str">
        <f>"MQ0715"</f>
        <v>MQ0715</v>
      </c>
      <c r="C6250" t="s">
        <v>6119</v>
      </c>
    </row>
    <row r="6251" spans="1:3" x14ac:dyDescent="0.25">
      <c r="A6251" t="str">
        <f>"0611835395025"</f>
        <v>0611835395025</v>
      </c>
      <c r="B6251" t="str">
        <f>"MQ9008"</f>
        <v>MQ9008</v>
      </c>
      <c r="C6251" t="s">
        <v>6120</v>
      </c>
    </row>
    <row r="6252" spans="1:3" x14ac:dyDescent="0.25">
      <c r="A6252" t="str">
        <f>"0611862582100"</f>
        <v>0611862582100</v>
      </c>
      <c r="B6252" t="str">
        <f>"CN5202"</f>
        <v>CN5202</v>
      </c>
      <c r="C6252" t="s">
        <v>6121</v>
      </c>
    </row>
    <row r="6253" spans="1:3" x14ac:dyDescent="0.25">
      <c r="A6253" t="str">
        <f>"0611835396025"</f>
        <v>0611835396025</v>
      </c>
      <c r="B6253" t="str">
        <f>"MC1989"</f>
        <v>MC1989</v>
      </c>
      <c r="C6253" t="s">
        <v>6122</v>
      </c>
    </row>
    <row r="6254" spans="1:3" x14ac:dyDescent="0.25">
      <c r="A6254" t="str">
        <f>"0611906806025"</f>
        <v>0611906806025</v>
      </c>
      <c r="B6254" t="str">
        <f>"MQ7594"</f>
        <v>MQ7594</v>
      </c>
      <c r="C6254" t="s">
        <v>6123</v>
      </c>
    </row>
    <row r="6255" spans="1:3" x14ac:dyDescent="0.25">
      <c r="A6255" t="str">
        <f>"0611835403025"</f>
        <v>0611835403025</v>
      </c>
      <c r="B6255" t="str">
        <f>"MC4403"</f>
        <v>MC4403</v>
      </c>
      <c r="C6255" t="s">
        <v>6124</v>
      </c>
    </row>
    <row r="6256" spans="1:3" x14ac:dyDescent="0.25">
      <c r="A6256" t="str">
        <f>"0611862583050"</f>
        <v>0611862583050</v>
      </c>
      <c r="B6256" t="str">
        <f>"CE0987"</f>
        <v>CE0987</v>
      </c>
      <c r="C6256" t="s">
        <v>6125</v>
      </c>
    </row>
    <row r="6257" spans="1:3" x14ac:dyDescent="0.25">
      <c r="A6257" t="str">
        <f>"0611835404025"</f>
        <v>0611835404025</v>
      </c>
      <c r="B6257" t="str">
        <f>"MQ6042"</f>
        <v>MQ6042</v>
      </c>
      <c r="C6257" t="s">
        <v>6126</v>
      </c>
    </row>
    <row r="6258" spans="1:3" x14ac:dyDescent="0.25">
      <c r="A6258" t="str">
        <f>"0611835398025"</f>
        <v>0611835398025</v>
      </c>
      <c r="B6258" t="str">
        <f>"MC4017"</f>
        <v>MC4017</v>
      </c>
      <c r="C6258" t="s">
        <v>6127</v>
      </c>
    </row>
    <row r="6259" spans="1:3" x14ac:dyDescent="0.25">
      <c r="A6259" t="str">
        <f>"0611906807025"</f>
        <v>0611906807025</v>
      </c>
      <c r="B6259" t="str">
        <f>"MQ0856"</f>
        <v>MQ0856</v>
      </c>
      <c r="C6259" t="s">
        <v>6128</v>
      </c>
    </row>
    <row r="6260" spans="1:3" x14ac:dyDescent="0.25">
      <c r="A6260" t="str">
        <f>"0611862584100"</f>
        <v>0611862584100</v>
      </c>
      <c r="B6260" t="str">
        <f>"CN5203"</f>
        <v>CN5203</v>
      </c>
      <c r="C6260" t="s">
        <v>6129</v>
      </c>
    </row>
    <row r="6261" spans="1:3" x14ac:dyDescent="0.25">
      <c r="A6261" t="str">
        <f>"0611835399025"</f>
        <v>0611835399025</v>
      </c>
      <c r="B6261" t="str">
        <f>"MC0430"</f>
        <v>MC0430</v>
      </c>
      <c r="C6261" t="s">
        <v>6130</v>
      </c>
    </row>
    <row r="6262" spans="1:3" x14ac:dyDescent="0.25">
      <c r="A6262" t="str">
        <f>"0611835400025"</f>
        <v>0611835400025</v>
      </c>
      <c r="B6262" t="str">
        <f>"MQ0294"</f>
        <v>MQ0294</v>
      </c>
      <c r="C6262" t="s">
        <v>6131</v>
      </c>
    </row>
    <row r="6263" spans="1:3" x14ac:dyDescent="0.25">
      <c r="A6263" t="str">
        <f>"0611835401025"</f>
        <v>0611835401025</v>
      </c>
      <c r="B6263" t="str">
        <f>"MQ7156"</f>
        <v>MQ7156</v>
      </c>
      <c r="C6263" t="s">
        <v>6132</v>
      </c>
    </row>
    <row r="6264" spans="1:3" x14ac:dyDescent="0.25">
      <c r="A6264" t="str">
        <f>"0611862586050"</f>
        <v>0611862586050</v>
      </c>
      <c r="B6264" t="str">
        <f>"CE0988"</f>
        <v>CE0988</v>
      </c>
      <c r="C6264" t="s">
        <v>6133</v>
      </c>
    </row>
    <row r="6265" spans="1:3" x14ac:dyDescent="0.25">
      <c r="A6265" t="str">
        <f>"0611835402025"</f>
        <v>0611835402025</v>
      </c>
      <c r="B6265" t="str">
        <f>"MQ7157"</f>
        <v>MQ7157</v>
      </c>
      <c r="C6265" t="s">
        <v>6134</v>
      </c>
    </row>
    <row r="6266" spans="1:3" x14ac:dyDescent="0.25">
      <c r="A6266" t="str">
        <f>"0611862587050"</f>
        <v>0611862587050</v>
      </c>
      <c r="B6266" t="str">
        <f>"CE0989"</f>
        <v>CE0989</v>
      </c>
      <c r="C6266" t="s">
        <v>6135</v>
      </c>
    </row>
    <row r="6267" spans="1:3" x14ac:dyDescent="0.25">
      <c r="A6267" t="str">
        <f>"0611862588100"</f>
        <v>0611862588100</v>
      </c>
      <c r="B6267" t="str">
        <f>"CN5204"</f>
        <v>CN5204</v>
      </c>
      <c r="C6267" t="s">
        <v>6136</v>
      </c>
    </row>
    <row r="6268" spans="1:3" x14ac:dyDescent="0.25">
      <c r="A6268" t="str">
        <f>"0611862589050"</f>
        <v>0611862589050</v>
      </c>
      <c r="B6268" t="str">
        <f>"CR4325"</f>
        <v>CR4325</v>
      </c>
      <c r="C6268" t="s">
        <v>6137</v>
      </c>
    </row>
    <row r="6269" spans="1:3" x14ac:dyDescent="0.25">
      <c r="A6269" t="str">
        <f>"0611835405025"</f>
        <v>0611835405025</v>
      </c>
      <c r="B6269" t="str">
        <f>"MQ0413"</f>
        <v>MQ0413</v>
      </c>
      <c r="C6269" t="s">
        <v>6138</v>
      </c>
    </row>
    <row r="6270" spans="1:3" x14ac:dyDescent="0.25">
      <c r="A6270" t="str">
        <f>"0611835406025"</f>
        <v>0611835406025</v>
      </c>
      <c r="B6270" t="str">
        <f>"MC2736"</f>
        <v>MC2736</v>
      </c>
      <c r="C6270" t="s">
        <v>6139</v>
      </c>
    </row>
    <row r="6271" spans="1:3" x14ac:dyDescent="0.25">
      <c r="A6271" t="str">
        <f>"0611862590100"</f>
        <v>0611862590100</v>
      </c>
      <c r="B6271" t="str">
        <f>"CN5205"</f>
        <v>CN5205</v>
      </c>
      <c r="C6271" t="s">
        <v>6140</v>
      </c>
    </row>
    <row r="6272" spans="1:3" x14ac:dyDescent="0.25">
      <c r="A6272" t="str">
        <f>"0611856990025"</f>
        <v>0611856990025</v>
      </c>
      <c r="B6272" t="str">
        <f>"MC4442"</f>
        <v>MC4442</v>
      </c>
      <c r="C6272" t="s">
        <v>6141</v>
      </c>
    </row>
    <row r="6273" spans="1:3" x14ac:dyDescent="0.25">
      <c r="A6273" t="str">
        <f>"0611835407100"</f>
        <v>0611835407100</v>
      </c>
      <c r="B6273" t="str">
        <f>"LH1605"</f>
        <v>LH1605</v>
      </c>
      <c r="C6273" t="s">
        <v>6142</v>
      </c>
    </row>
    <row r="6274" spans="1:3" x14ac:dyDescent="0.25">
      <c r="A6274" t="str">
        <f>"0611862592100"</f>
        <v>0611862592100</v>
      </c>
      <c r="B6274" t="str">
        <f>"CN2373"</f>
        <v>CN2373</v>
      </c>
      <c r="C6274" t="s">
        <v>6143</v>
      </c>
    </row>
    <row r="6275" spans="1:3" x14ac:dyDescent="0.25">
      <c r="A6275" t="str">
        <f>"0611835409025"</f>
        <v>0611835409025</v>
      </c>
      <c r="B6275" t="str">
        <f>"MC3922"</f>
        <v>MC3922</v>
      </c>
      <c r="C6275" t="s">
        <v>6144</v>
      </c>
    </row>
    <row r="6276" spans="1:3" x14ac:dyDescent="0.25">
      <c r="A6276" t="str">
        <f>"0611835410100"</f>
        <v>0611835410100</v>
      </c>
      <c r="B6276" t="str">
        <f>"LB3280"</f>
        <v>LB3280</v>
      </c>
      <c r="C6276" t="s">
        <v>6145</v>
      </c>
    </row>
    <row r="6277" spans="1:3" x14ac:dyDescent="0.25">
      <c r="A6277" t="str">
        <f>"0611835411100"</f>
        <v>0611835411100</v>
      </c>
      <c r="B6277" t="str">
        <f>"LB3331"</f>
        <v>LB3331</v>
      </c>
      <c r="C6277" t="s">
        <v>6146</v>
      </c>
    </row>
    <row r="6278" spans="1:3" x14ac:dyDescent="0.25">
      <c r="A6278" t="str">
        <f>"0611835412100"</f>
        <v>0611835412100</v>
      </c>
      <c r="B6278" t="str">
        <f>"LB3286"</f>
        <v>LB3286</v>
      </c>
      <c r="C6278" t="s">
        <v>6147</v>
      </c>
    </row>
    <row r="6279" spans="1:3" x14ac:dyDescent="0.25">
      <c r="A6279" t="str">
        <f>"0611835413100"</f>
        <v>0611835413100</v>
      </c>
      <c r="B6279" t="str">
        <f>"LB3281"</f>
        <v>LB3281</v>
      </c>
      <c r="C6279" t="s">
        <v>6148</v>
      </c>
    </row>
    <row r="6280" spans="1:3" x14ac:dyDescent="0.25">
      <c r="A6280" t="str">
        <f>"0611835414100"</f>
        <v>0611835414100</v>
      </c>
      <c r="B6280" t="str">
        <f>"LB3272"</f>
        <v>LB3272</v>
      </c>
      <c r="C6280" t="s">
        <v>6149</v>
      </c>
    </row>
    <row r="6281" spans="1:3" x14ac:dyDescent="0.25">
      <c r="A6281" t="str">
        <f>"0611835415100"</f>
        <v>0611835415100</v>
      </c>
      <c r="B6281" t="str">
        <f>"LB3287"</f>
        <v>LB3287</v>
      </c>
      <c r="C6281" t="s">
        <v>6150</v>
      </c>
    </row>
    <row r="6282" spans="1:3" x14ac:dyDescent="0.25">
      <c r="A6282" t="str">
        <f>"0611835416100"</f>
        <v>0611835416100</v>
      </c>
      <c r="B6282" t="str">
        <f>"LB3289"</f>
        <v>LB3289</v>
      </c>
      <c r="C6282" t="s">
        <v>6151</v>
      </c>
    </row>
    <row r="6283" spans="1:3" x14ac:dyDescent="0.25">
      <c r="A6283" t="str">
        <f>"0611835417100"</f>
        <v>0611835417100</v>
      </c>
      <c r="B6283" t="str">
        <f>"LB3290"</f>
        <v>LB3290</v>
      </c>
      <c r="C6283" t="s">
        <v>6152</v>
      </c>
    </row>
    <row r="6284" spans="1:3" x14ac:dyDescent="0.25">
      <c r="A6284" t="str">
        <f>"0611835418100"</f>
        <v>0611835418100</v>
      </c>
      <c r="B6284" t="str">
        <f>"LB3288"</f>
        <v>LB3288</v>
      </c>
      <c r="C6284" t="s">
        <v>6153</v>
      </c>
    </row>
    <row r="6285" spans="1:3" x14ac:dyDescent="0.25">
      <c r="A6285" t="str">
        <f>"0611835419100"</f>
        <v>0611835419100</v>
      </c>
      <c r="B6285" t="str">
        <f>"LB3291"</f>
        <v>LB3291</v>
      </c>
      <c r="C6285" t="s">
        <v>6154</v>
      </c>
    </row>
    <row r="6286" spans="1:3" x14ac:dyDescent="0.25">
      <c r="A6286" t="str">
        <f>"0611835420100"</f>
        <v>0611835420100</v>
      </c>
      <c r="B6286" t="str">
        <f>"LK4832"</f>
        <v>LK4832</v>
      </c>
      <c r="C6286" t="s">
        <v>6155</v>
      </c>
    </row>
    <row r="6287" spans="1:3" x14ac:dyDescent="0.25">
      <c r="A6287" t="str">
        <f>"0611835426100"</f>
        <v>0611835426100</v>
      </c>
      <c r="B6287" t="str">
        <f>"LK4833"</f>
        <v>LK4833</v>
      </c>
      <c r="C6287" t="s">
        <v>6156</v>
      </c>
    </row>
    <row r="6288" spans="1:3" x14ac:dyDescent="0.25">
      <c r="A6288" t="str">
        <f>"0611835427100"</f>
        <v>0611835427100</v>
      </c>
      <c r="B6288" t="str">
        <f>"LK4834"</f>
        <v>LK4834</v>
      </c>
      <c r="C6288" t="s">
        <v>6157</v>
      </c>
    </row>
    <row r="6289" spans="1:3" x14ac:dyDescent="0.25">
      <c r="A6289" t="str">
        <f>"0611835428100"</f>
        <v>0611835428100</v>
      </c>
      <c r="B6289" t="str">
        <f>"LK4836"</f>
        <v>LK4836</v>
      </c>
      <c r="C6289" t="s">
        <v>6158</v>
      </c>
    </row>
    <row r="6290" spans="1:3" x14ac:dyDescent="0.25">
      <c r="A6290" t="str">
        <f>"0611835422100"</f>
        <v>0611835422100</v>
      </c>
      <c r="B6290" t="str">
        <f>"LK5005"</f>
        <v>LK5005</v>
      </c>
      <c r="C6290" t="s">
        <v>6159</v>
      </c>
    </row>
    <row r="6291" spans="1:3" x14ac:dyDescent="0.25">
      <c r="A6291" t="str">
        <f>"0611835429100"</f>
        <v>0611835429100</v>
      </c>
      <c r="B6291" t="str">
        <f>"LK4835"</f>
        <v>LK4835</v>
      </c>
      <c r="C6291" t="s">
        <v>6160</v>
      </c>
    </row>
    <row r="6292" spans="1:3" x14ac:dyDescent="0.25">
      <c r="A6292" t="str">
        <f>"0611835423100"</f>
        <v>0611835423100</v>
      </c>
      <c r="B6292" t="str">
        <f>"LK5006"</f>
        <v>LK5006</v>
      </c>
      <c r="C6292" t="s">
        <v>6161</v>
      </c>
    </row>
    <row r="6293" spans="1:3" x14ac:dyDescent="0.25">
      <c r="A6293" t="str">
        <f>"0611835424100"</f>
        <v>0611835424100</v>
      </c>
      <c r="B6293" t="str">
        <f>"LK5007"</f>
        <v>LK5007</v>
      </c>
      <c r="C6293" t="s">
        <v>6163</v>
      </c>
    </row>
    <row r="6294" spans="1:3" x14ac:dyDescent="0.25">
      <c r="A6294" t="str">
        <f>"0611835430100"</f>
        <v>0611835430100</v>
      </c>
      <c r="B6294" t="str">
        <f>"LK4837"</f>
        <v>LK4837</v>
      </c>
      <c r="C6294" t="s">
        <v>6162</v>
      </c>
    </row>
    <row r="6295" spans="1:3" x14ac:dyDescent="0.25">
      <c r="A6295" t="str">
        <f>"0611835431100"</f>
        <v>0611835431100</v>
      </c>
      <c r="B6295" t="str">
        <f>"LK4838"</f>
        <v>LK4838</v>
      </c>
      <c r="C6295" t="s">
        <v>6164</v>
      </c>
    </row>
    <row r="6296" spans="1:3" x14ac:dyDescent="0.25">
      <c r="A6296" t="str">
        <f>"0611835432100"</f>
        <v>0611835432100</v>
      </c>
      <c r="B6296" t="str">
        <f>"LK4839"</f>
        <v>LK4839</v>
      </c>
      <c r="C6296" t="s">
        <v>6165</v>
      </c>
    </row>
    <row r="6297" spans="1:3" x14ac:dyDescent="0.25">
      <c r="A6297" t="str">
        <f>"0611835433100"</f>
        <v>0611835433100</v>
      </c>
      <c r="B6297" t="str">
        <f>"LK4840"</f>
        <v>LK4840</v>
      </c>
      <c r="C6297" t="s">
        <v>6166</v>
      </c>
    </row>
    <row r="6298" spans="1:3" x14ac:dyDescent="0.25">
      <c r="A6298" t="str">
        <f>"0611835434100"</f>
        <v>0611835434100</v>
      </c>
      <c r="B6298" t="str">
        <f>"LK4841"</f>
        <v>LK4841</v>
      </c>
      <c r="C6298" t="s">
        <v>6167</v>
      </c>
    </row>
    <row r="6299" spans="1:3" x14ac:dyDescent="0.25">
      <c r="A6299" t="str">
        <f>"0611835425100"</f>
        <v>0611835425100</v>
      </c>
      <c r="B6299" t="str">
        <f>"LK4842"</f>
        <v>LK4842</v>
      </c>
      <c r="C6299" t="s">
        <v>6168</v>
      </c>
    </row>
    <row r="6300" spans="1:3" x14ac:dyDescent="0.25">
      <c r="A6300" t="str">
        <f>"0611835435100"</f>
        <v>0611835435100</v>
      </c>
      <c r="B6300" t="str">
        <f>"LK4843"</f>
        <v>LK4843</v>
      </c>
      <c r="C6300" t="s">
        <v>6169</v>
      </c>
    </row>
    <row r="6301" spans="1:3" x14ac:dyDescent="0.25">
      <c r="A6301" t="str">
        <f>"0611835436100"</f>
        <v>0611835436100</v>
      </c>
      <c r="B6301" t="str">
        <f>"LB3292"</f>
        <v>LB3292</v>
      </c>
      <c r="C6301" t="s">
        <v>6170</v>
      </c>
    </row>
    <row r="6302" spans="1:3" x14ac:dyDescent="0.25">
      <c r="A6302" t="str">
        <f>"0611835437100"</f>
        <v>0611835437100</v>
      </c>
      <c r="B6302" t="str">
        <f>"LB3277"</f>
        <v>LB3277</v>
      </c>
      <c r="C6302" t="s">
        <v>6171</v>
      </c>
    </row>
    <row r="6303" spans="1:3" x14ac:dyDescent="0.25">
      <c r="A6303" t="str">
        <f>"0611835438100"</f>
        <v>0611835438100</v>
      </c>
      <c r="B6303" t="str">
        <f>"LB3293"</f>
        <v>LB3293</v>
      </c>
      <c r="C6303" t="s">
        <v>6172</v>
      </c>
    </row>
    <row r="6304" spans="1:3" x14ac:dyDescent="0.25">
      <c r="A6304" t="str">
        <f>"0611835439100"</f>
        <v>0611835439100</v>
      </c>
      <c r="B6304" t="str">
        <f>"LB3279"</f>
        <v>LB3279</v>
      </c>
      <c r="C6304" t="s">
        <v>6173</v>
      </c>
    </row>
    <row r="6305" spans="1:3" x14ac:dyDescent="0.25">
      <c r="A6305" t="str">
        <f>"0611835440100"</f>
        <v>0611835440100</v>
      </c>
      <c r="B6305" t="str">
        <f>"LB3294"</f>
        <v>LB3294</v>
      </c>
      <c r="C6305" t="s">
        <v>6174</v>
      </c>
    </row>
    <row r="6306" spans="1:3" x14ac:dyDescent="0.25">
      <c r="A6306" t="str">
        <f>"0611835442100"</f>
        <v>0611835442100</v>
      </c>
      <c r="B6306" t="str">
        <f>"LB3274"</f>
        <v>LB3274</v>
      </c>
      <c r="C6306" t="s">
        <v>6175</v>
      </c>
    </row>
    <row r="6307" spans="1:3" x14ac:dyDescent="0.25">
      <c r="A6307" t="str">
        <f>"0611835443100"</f>
        <v>0611835443100</v>
      </c>
      <c r="B6307" t="str">
        <f>"LB3298"</f>
        <v>LB3298</v>
      </c>
      <c r="C6307" t="s">
        <v>6176</v>
      </c>
    </row>
    <row r="6308" spans="1:3" x14ac:dyDescent="0.25">
      <c r="A6308" t="str">
        <f>"0611835444100"</f>
        <v>0611835444100</v>
      </c>
      <c r="B6308" t="str">
        <f>"LB3278"</f>
        <v>LB3278</v>
      </c>
      <c r="C6308" t="s">
        <v>6177</v>
      </c>
    </row>
    <row r="6309" spans="1:3" x14ac:dyDescent="0.25">
      <c r="A6309" t="str">
        <f>"0611835445100"</f>
        <v>0611835445100</v>
      </c>
      <c r="B6309" t="str">
        <f>"LB3296"</f>
        <v>LB3296</v>
      </c>
      <c r="C6309" t="s">
        <v>6178</v>
      </c>
    </row>
    <row r="6310" spans="1:3" x14ac:dyDescent="0.25">
      <c r="A6310" t="str">
        <f>"0611884256050"</f>
        <v>0611884256050</v>
      </c>
      <c r="B6310" t="str">
        <f>"CR5260"</f>
        <v>CR5260</v>
      </c>
      <c r="C6310" t="s">
        <v>6179</v>
      </c>
    </row>
    <row r="6311" spans="1:3" x14ac:dyDescent="0.25">
      <c r="A6311" t="str">
        <f>"0611835446100"</f>
        <v>0611835446100</v>
      </c>
      <c r="B6311" t="str">
        <f>"LK3597"</f>
        <v>LK3597</v>
      </c>
      <c r="C6311" t="s">
        <v>6180</v>
      </c>
    </row>
    <row r="6312" spans="1:3" x14ac:dyDescent="0.25">
      <c r="A6312" t="str">
        <f>"0611835447100"</f>
        <v>0611835447100</v>
      </c>
      <c r="B6312" t="str">
        <f>"LK6579"</f>
        <v>LK6579</v>
      </c>
      <c r="C6312" t="s">
        <v>6181</v>
      </c>
    </row>
    <row r="6313" spans="1:3" x14ac:dyDescent="0.25">
      <c r="A6313" t="str">
        <f>"0611906808100"</f>
        <v>0611906808100</v>
      </c>
      <c r="B6313" t="str">
        <f>"LK7213"</f>
        <v>LK7213</v>
      </c>
      <c r="C6313" t="s">
        <v>6182</v>
      </c>
    </row>
    <row r="6314" spans="1:3" x14ac:dyDescent="0.25">
      <c r="A6314" t="str">
        <f>"0611835448100"</f>
        <v>0611835448100</v>
      </c>
      <c r="B6314" t="str">
        <f>"LK6580"</f>
        <v>LK6580</v>
      </c>
      <c r="C6314" t="s">
        <v>6183</v>
      </c>
    </row>
    <row r="6315" spans="1:3" x14ac:dyDescent="0.25">
      <c r="A6315" t="str">
        <f>"0611856991100"</f>
        <v>0611856991100</v>
      </c>
      <c r="B6315" t="str">
        <f>"LK7050"</f>
        <v>LK7050</v>
      </c>
      <c r="C6315" t="s">
        <v>6184</v>
      </c>
    </row>
    <row r="6316" spans="1:3" x14ac:dyDescent="0.25">
      <c r="A6316" t="str">
        <f>"0611884257100"</f>
        <v>0611884257100</v>
      </c>
      <c r="B6316" t="str">
        <f>"LK7137"</f>
        <v>LK7137</v>
      </c>
      <c r="C6316" t="s">
        <v>6185</v>
      </c>
    </row>
    <row r="6317" spans="1:3" x14ac:dyDescent="0.25">
      <c r="A6317" t="str">
        <f>"0611835449100"</f>
        <v>0611835449100</v>
      </c>
      <c r="B6317" t="str">
        <f>"LK6966"</f>
        <v>LK6966</v>
      </c>
      <c r="C6317" t="s">
        <v>6186</v>
      </c>
    </row>
    <row r="6318" spans="1:3" x14ac:dyDescent="0.25">
      <c r="A6318" t="str">
        <f>"0611835450100"</f>
        <v>0611835450100</v>
      </c>
      <c r="B6318" t="str">
        <f>"LK6581"</f>
        <v>LK6581</v>
      </c>
      <c r="C6318" t="s">
        <v>6187</v>
      </c>
    </row>
    <row r="6319" spans="1:3" x14ac:dyDescent="0.25">
      <c r="A6319" t="str">
        <f>"0611884258100"</f>
        <v>0611884258100</v>
      </c>
      <c r="B6319" t="str">
        <f>"LK7138"</f>
        <v>LK7138</v>
      </c>
      <c r="C6319" t="s">
        <v>6188</v>
      </c>
    </row>
    <row r="6320" spans="1:3" x14ac:dyDescent="0.25">
      <c r="A6320" t="str">
        <f>"0611856992100"</f>
        <v>0611856992100</v>
      </c>
      <c r="B6320" t="str">
        <f>"LK7051"</f>
        <v>LK7051</v>
      </c>
      <c r="C6320" t="s">
        <v>6189</v>
      </c>
    </row>
    <row r="6321" spans="1:3" x14ac:dyDescent="0.25">
      <c r="A6321" t="str">
        <f>"0611835451100"</f>
        <v>0611835451100</v>
      </c>
      <c r="B6321" t="str">
        <f>"LK6582"</f>
        <v>LK6582</v>
      </c>
      <c r="C6321" t="s">
        <v>6190</v>
      </c>
    </row>
    <row r="6322" spans="1:3" x14ac:dyDescent="0.25">
      <c r="A6322" t="str">
        <f>"0611835452100"</f>
        <v>0611835452100</v>
      </c>
      <c r="B6322" t="str">
        <f>"LK6583"</f>
        <v>LK6583</v>
      </c>
      <c r="C6322" t="s">
        <v>6191</v>
      </c>
    </row>
    <row r="6323" spans="1:3" x14ac:dyDescent="0.25">
      <c r="A6323" t="str">
        <f>"0611835453100"</f>
        <v>0611835453100</v>
      </c>
      <c r="B6323" t="str">
        <f>"LK6844"</f>
        <v>LK6844</v>
      </c>
      <c r="C6323" t="s">
        <v>6192</v>
      </c>
    </row>
    <row r="6324" spans="1:3" x14ac:dyDescent="0.25">
      <c r="A6324" t="str">
        <f>"0611835454100"</f>
        <v>0611835454100</v>
      </c>
      <c r="B6324" t="str">
        <f>"LK6584"</f>
        <v>LK6584</v>
      </c>
      <c r="C6324" t="s">
        <v>6193</v>
      </c>
    </row>
    <row r="6325" spans="1:3" x14ac:dyDescent="0.25">
      <c r="A6325" t="str">
        <f>"0611856993100"</f>
        <v>0611856993100</v>
      </c>
      <c r="B6325" t="str">
        <f>"LK7052"</f>
        <v>LK7052</v>
      </c>
      <c r="C6325" t="s">
        <v>6194</v>
      </c>
    </row>
    <row r="6326" spans="1:3" x14ac:dyDescent="0.25">
      <c r="A6326" t="str">
        <f>"0611835455100"</f>
        <v>0611835455100</v>
      </c>
      <c r="B6326" t="str">
        <f>"LK6585"</f>
        <v>LK6585</v>
      </c>
      <c r="C6326" t="s">
        <v>6195</v>
      </c>
    </row>
    <row r="6327" spans="1:3" x14ac:dyDescent="0.25">
      <c r="A6327" t="str">
        <f>"0611835456100"</f>
        <v>0611835456100</v>
      </c>
      <c r="B6327" t="str">
        <f>"LK6586"</f>
        <v>LK6586</v>
      </c>
      <c r="C6327" t="s">
        <v>6196</v>
      </c>
    </row>
    <row r="6328" spans="1:3" x14ac:dyDescent="0.25">
      <c r="A6328" t="str">
        <f>"0611835457100"</f>
        <v>0611835457100</v>
      </c>
      <c r="B6328" t="str">
        <f>"LK6587"</f>
        <v>LK6587</v>
      </c>
      <c r="C6328" t="s">
        <v>6197</v>
      </c>
    </row>
    <row r="6329" spans="1:3" x14ac:dyDescent="0.25">
      <c r="A6329" t="str">
        <f>"0611835537100"</f>
        <v>0611835537100</v>
      </c>
      <c r="B6329" t="str">
        <f>"LS0043"</f>
        <v>LS0043</v>
      </c>
      <c r="C6329" t="s">
        <v>6258</v>
      </c>
    </row>
    <row r="6330" spans="1:3" x14ac:dyDescent="0.25">
      <c r="A6330" t="str">
        <f>"0611835458100"</f>
        <v>0611835458100</v>
      </c>
      <c r="B6330" t="str">
        <f>"LS0045"</f>
        <v>LS0045</v>
      </c>
      <c r="C6330" t="s">
        <v>6198</v>
      </c>
    </row>
    <row r="6331" spans="1:3" x14ac:dyDescent="0.25">
      <c r="A6331" t="str">
        <f>"0611835459100"</f>
        <v>0611835459100</v>
      </c>
      <c r="B6331" t="str">
        <f>"LS0047"</f>
        <v>LS0047</v>
      </c>
      <c r="C6331" t="s">
        <v>6199</v>
      </c>
    </row>
    <row r="6332" spans="1:3" x14ac:dyDescent="0.25">
      <c r="A6332" t="str">
        <f>"0611835460100"</f>
        <v>0611835460100</v>
      </c>
      <c r="B6332" t="str">
        <f>"LS0048"</f>
        <v>LS0048</v>
      </c>
      <c r="C6332" t="s">
        <v>6200</v>
      </c>
    </row>
    <row r="6333" spans="1:3" x14ac:dyDescent="0.25">
      <c r="A6333" t="str">
        <f>"0611835464100"</f>
        <v>0611835464100</v>
      </c>
      <c r="B6333" t="str">
        <f>"LS0050"</f>
        <v>LS0050</v>
      </c>
      <c r="C6333" t="s">
        <v>6202</v>
      </c>
    </row>
    <row r="6334" spans="1:3" x14ac:dyDescent="0.25">
      <c r="A6334" t="str">
        <f>"0611835465100"</f>
        <v>0611835465100</v>
      </c>
      <c r="B6334" t="str">
        <f>"LS0051"</f>
        <v>LS0051</v>
      </c>
      <c r="C6334" t="s">
        <v>6201</v>
      </c>
    </row>
    <row r="6335" spans="1:3" x14ac:dyDescent="0.25">
      <c r="A6335" t="str">
        <f>"0611835466100"</f>
        <v>0611835466100</v>
      </c>
      <c r="B6335" t="str">
        <f>"LK0754"</f>
        <v>LK0754</v>
      </c>
      <c r="C6335" t="s">
        <v>6204</v>
      </c>
    </row>
    <row r="6336" spans="1:3" x14ac:dyDescent="0.25">
      <c r="A6336" t="str">
        <f>"0611835467100"</f>
        <v>0611835467100</v>
      </c>
      <c r="B6336" t="str">
        <f>"LB3457"</f>
        <v>LB3457</v>
      </c>
      <c r="C6336" t="s">
        <v>6205</v>
      </c>
    </row>
    <row r="6337" spans="1:3" x14ac:dyDescent="0.25">
      <c r="A6337" t="str">
        <f>"0611835469100"</f>
        <v>0611835469100</v>
      </c>
      <c r="B6337" t="str">
        <f>"LB3446"</f>
        <v>LB3446</v>
      </c>
      <c r="C6337" t="s">
        <v>6206</v>
      </c>
    </row>
    <row r="6338" spans="1:3" x14ac:dyDescent="0.25">
      <c r="A6338" t="str">
        <f>"0611835470100"</f>
        <v>0611835470100</v>
      </c>
      <c r="B6338" t="str">
        <f>"LB3445"</f>
        <v>LB3445</v>
      </c>
      <c r="C6338" t="s">
        <v>6207</v>
      </c>
    </row>
    <row r="6339" spans="1:3" x14ac:dyDescent="0.25">
      <c r="A6339" t="str">
        <f>"0611835471100"</f>
        <v>0611835471100</v>
      </c>
      <c r="B6339" t="str">
        <f>"LB3265"</f>
        <v>LB3265</v>
      </c>
      <c r="C6339" t="s">
        <v>6208</v>
      </c>
    </row>
    <row r="6340" spans="1:3" x14ac:dyDescent="0.25">
      <c r="A6340" t="str">
        <f>"0611835473100"</f>
        <v>0611835473100</v>
      </c>
      <c r="B6340" t="str">
        <f>"LB3475"</f>
        <v>LB3475</v>
      </c>
      <c r="C6340" t="s">
        <v>6209</v>
      </c>
    </row>
    <row r="6341" spans="1:3" x14ac:dyDescent="0.25">
      <c r="A6341" t="str">
        <f>"0611835474100"</f>
        <v>0611835474100</v>
      </c>
      <c r="B6341" t="str">
        <f>"LB3477"</f>
        <v>LB3477</v>
      </c>
      <c r="C6341" t="s">
        <v>6210</v>
      </c>
    </row>
    <row r="6342" spans="1:3" x14ac:dyDescent="0.25">
      <c r="A6342" t="str">
        <f>"0611835475100"</f>
        <v>0611835475100</v>
      </c>
      <c r="B6342" t="str">
        <f>"LB3447"</f>
        <v>LB3447</v>
      </c>
      <c r="C6342" t="s">
        <v>6211</v>
      </c>
    </row>
    <row r="6343" spans="1:3" x14ac:dyDescent="0.25">
      <c r="A6343" t="str">
        <f>"0611835476100"</f>
        <v>0611835476100</v>
      </c>
      <c r="B6343" t="str">
        <f>"LK3842"</f>
        <v>LK3842</v>
      </c>
      <c r="C6343" t="s">
        <v>6203</v>
      </c>
    </row>
    <row r="6344" spans="1:3" x14ac:dyDescent="0.25">
      <c r="A6344" t="str">
        <f>"0611835477100"</f>
        <v>0611835477100</v>
      </c>
      <c r="B6344" t="str">
        <f>"LB3448"</f>
        <v>LB3448</v>
      </c>
      <c r="C6344" t="s">
        <v>6212</v>
      </c>
    </row>
    <row r="6345" spans="1:3" x14ac:dyDescent="0.25">
      <c r="A6345" t="str">
        <f>"0611835478100"</f>
        <v>0611835478100</v>
      </c>
      <c r="B6345" t="str">
        <f>"LK4845"</f>
        <v>LK4845</v>
      </c>
      <c r="C6345" t="s">
        <v>6213</v>
      </c>
    </row>
    <row r="6346" spans="1:3" x14ac:dyDescent="0.25">
      <c r="A6346" t="str">
        <f>"0611835479100"</f>
        <v>0611835479100</v>
      </c>
      <c r="B6346" t="str">
        <f>"LB3449"</f>
        <v>LB3449</v>
      </c>
      <c r="C6346" t="s">
        <v>6214</v>
      </c>
    </row>
    <row r="6347" spans="1:3" x14ac:dyDescent="0.25">
      <c r="A6347" t="str">
        <f>"0611835480100"</f>
        <v>0611835480100</v>
      </c>
      <c r="B6347" t="str">
        <f>"LB3458"</f>
        <v>LB3458</v>
      </c>
      <c r="C6347" t="s">
        <v>6215</v>
      </c>
    </row>
    <row r="6348" spans="1:3" x14ac:dyDescent="0.25">
      <c r="A6348" t="str">
        <f>"0611835481100"</f>
        <v>0611835481100</v>
      </c>
      <c r="B6348" t="str">
        <f>"LB3450"</f>
        <v>LB3450</v>
      </c>
      <c r="C6348" t="s">
        <v>6216</v>
      </c>
    </row>
    <row r="6349" spans="1:3" x14ac:dyDescent="0.25">
      <c r="A6349" t="str">
        <f>"0611835482100"</f>
        <v>0611835482100</v>
      </c>
      <c r="B6349" t="str">
        <f>"LB3451"</f>
        <v>LB3451</v>
      </c>
      <c r="C6349" t="s">
        <v>6217</v>
      </c>
    </row>
    <row r="6350" spans="1:3" x14ac:dyDescent="0.25">
      <c r="A6350" t="str">
        <f>"0611835483100"</f>
        <v>0611835483100</v>
      </c>
      <c r="B6350" t="str">
        <f>"LB3263"</f>
        <v>LB3263</v>
      </c>
      <c r="C6350" t="s">
        <v>6218</v>
      </c>
    </row>
    <row r="6351" spans="1:3" x14ac:dyDescent="0.25">
      <c r="A6351" t="str">
        <f>"0611835484100"</f>
        <v>0611835484100</v>
      </c>
      <c r="B6351" t="str">
        <f>"LK5008"</f>
        <v>LK5008</v>
      </c>
      <c r="C6351" t="s">
        <v>6219</v>
      </c>
    </row>
    <row r="6352" spans="1:3" x14ac:dyDescent="0.25">
      <c r="A6352" t="str">
        <f>"0611835485100"</f>
        <v>0611835485100</v>
      </c>
      <c r="B6352" t="str">
        <f>"LK5009"</f>
        <v>LK5009</v>
      </c>
      <c r="C6352" t="s">
        <v>6220</v>
      </c>
    </row>
    <row r="6353" spans="1:3" x14ac:dyDescent="0.25">
      <c r="A6353" t="str">
        <f>"0611835486100"</f>
        <v>0611835486100</v>
      </c>
      <c r="B6353" t="str">
        <f>"LK1836"</f>
        <v>LK1836</v>
      </c>
      <c r="C6353" t="s">
        <v>6221</v>
      </c>
    </row>
    <row r="6354" spans="1:3" x14ac:dyDescent="0.25">
      <c r="A6354" t="str">
        <f>"0611835487100"</f>
        <v>0611835487100</v>
      </c>
      <c r="B6354" t="str">
        <f>"LB3474"</f>
        <v>LB3474</v>
      </c>
      <c r="C6354" t="s">
        <v>6222</v>
      </c>
    </row>
    <row r="6355" spans="1:3" x14ac:dyDescent="0.25">
      <c r="A6355" t="str">
        <f>"0611835489100"</f>
        <v>0611835489100</v>
      </c>
      <c r="B6355" t="str">
        <f>"LB3452"</f>
        <v>LB3452</v>
      </c>
      <c r="C6355" t="s">
        <v>6223</v>
      </c>
    </row>
    <row r="6356" spans="1:3" x14ac:dyDescent="0.25">
      <c r="A6356" t="str">
        <f>"0611835490100"</f>
        <v>0611835490100</v>
      </c>
      <c r="B6356" t="str">
        <f>"LB3453"</f>
        <v>LB3453</v>
      </c>
      <c r="C6356" t="s">
        <v>6224</v>
      </c>
    </row>
    <row r="6357" spans="1:3" x14ac:dyDescent="0.25">
      <c r="A6357" t="str">
        <f>"0611835492100"</f>
        <v>0611835492100</v>
      </c>
      <c r="B6357" t="str">
        <f>"LK5471"</f>
        <v>LK5471</v>
      </c>
      <c r="C6357" t="s">
        <v>6226</v>
      </c>
    </row>
    <row r="6358" spans="1:3" x14ac:dyDescent="0.25">
      <c r="A6358" t="str">
        <f>"0611835497100"</f>
        <v>0611835497100</v>
      </c>
      <c r="B6358" t="str">
        <f>"LK6080"</f>
        <v>LK6080</v>
      </c>
      <c r="C6358" t="s">
        <v>6227</v>
      </c>
    </row>
    <row r="6359" spans="1:3" x14ac:dyDescent="0.25">
      <c r="A6359" t="str">
        <f>"0611835498100"</f>
        <v>0611835498100</v>
      </c>
      <c r="B6359" t="str">
        <f>"LK1960"</f>
        <v>LK1960</v>
      </c>
      <c r="C6359" t="s">
        <v>6228</v>
      </c>
    </row>
    <row r="6360" spans="1:3" x14ac:dyDescent="0.25">
      <c r="A6360" t="str">
        <f>"0611835500100"</f>
        <v>0611835500100</v>
      </c>
      <c r="B6360" t="str">
        <f>"LK1962"</f>
        <v>LK1962</v>
      </c>
      <c r="C6360" t="s">
        <v>6229</v>
      </c>
    </row>
    <row r="6361" spans="1:3" x14ac:dyDescent="0.25">
      <c r="A6361" t="str">
        <f>"0611835504100"</f>
        <v>0611835504100</v>
      </c>
      <c r="B6361" t="str">
        <f>"LK6244"</f>
        <v>LK6244</v>
      </c>
      <c r="C6361" t="s">
        <v>6230</v>
      </c>
    </row>
    <row r="6362" spans="1:3" x14ac:dyDescent="0.25">
      <c r="A6362" t="str">
        <f>"0611835508100"</f>
        <v>0611835508100</v>
      </c>
      <c r="B6362" t="str">
        <f>"LK4318"</f>
        <v>LK4318</v>
      </c>
      <c r="C6362" t="s">
        <v>6231</v>
      </c>
    </row>
    <row r="6363" spans="1:3" x14ac:dyDescent="0.25">
      <c r="A6363" t="str">
        <f>"0611835509100"</f>
        <v>0611835509100</v>
      </c>
      <c r="B6363" t="str">
        <f>"LK1966"</f>
        <v>LK1966</v>
      </c>
      <c r="C6363" t="s">
        <v>6232</v>
      </c>
    </row>
    <row r="6364" spans="1:3" x14ac:dyDescent="0.25">
      <c r="A6364" t="str">
        <f>"0611835511100"</f>
        <v>0611835511100</v>
      </c>
      <c r="B6364" t="str">
        <f>"LK1967"</f>
        <v>LK1967</v>
      </c>
      <c r="C6364" t="s">
        <v>6233</v>
      </c>
    </row>
    <row r="6365" spans="1:3" x14ac:dyDescent="0.25">
      <c r="A6365" t="str">
        <f>"0611835491100"</f>
        <v>0611835491100</v>
      </c>
      <c r="B6365" t="str">
        <f>"LS0052"</f>
        <v>LS0052</v>
      </c>
      <c r="C6365" t="s">
        <v>6225</v>
      </c>
    </row>
    <row r="6366" spans="1:3" x14ac:dyDescent="0.25">
      <c r="A6366" t="str">
        <f>"0611835513100"</f>
        <v>0611835513100</v>
      </c>
      <c r="B6366" t="str">
        <f>"MB3291"</f>
        <v>MB3291</v>
      </c>
      <c r="C6366" t="s">
        <v>6234</v>
      </c>
    </row>
    <row r="6367" spans="1:3" x14ac:dyDescent="0.25">
      <c r="A6367" t="str">
        <f>"0611835515100"</f>
        <v>0611835515100</v>
      </c>
      <c r="B6367" t="str">
        <f>"LB4170"</f>
        <v>LB4170</v>
      </c>
      <c r="C6367" t="s">
        <v>6235</v>
      </c>
    </row>
    <row r="6368" spans="1:3" x14ac:dyDescent="0.25">
      <c r="A6368" t="str">
        <f>"0611835516100"</f>
        <v>0611835516100</v>
      </c>
      <c r="B6368" t="str">
        <f>"LB3267"</f>
        <v>LB3267</v>
      </c>
      <c r="C6368" t="s">
        <v>6236</v>
      </c>
    </row>
    <row r="6369" spans="1:3" x14ac:dyDescent="0.25">
      <c r="A6369" t="str">
        <f>"0611835517100"</f>
        <v>0611835517100</v>
      </c>
      <c r="B6369" t="str">
        <f>"LB3275"</f>
        <v>LB3275</v>
      </c>
      <c r="C6369" t="s">
        <v>6237</v>
      </c>
    </row>
    <row r="6370" spans="1:3" x14ac:dyDescent="0.25">
      <c r="A6370" t="str">
        <f>"0611835518100"</f>
        <v>0611835518100</v>
      </c>
      <c r="B6370" t="str">
        <f>"LB4171"</f>
        <v>LB4171</v>
      </c>
      <c r="C6370" t="s">
        <v>6238</v>
      </c>
    </row>
    <row r="6371" spans="1:3" x14ac:dyDescent="0.25">
      <c r="A6371" t="str">
        <f>"0611835520100"</f>
        <v>0611835520100</v>
      </c>
      <c r="B6371" t="str">
        <f>"LB3338"</f>
        <v>LB3338</v>
      </c>
      <c r="C6371" t="s">
        <v>6240</v>
      </c>
    </row>
    <row r="6372" spans="1:3" x14ac:dyDescent="0.25">
      <c r="A6372" t="str">
        <f>"0611835519100"</f>
        <v>0611835519100</v>
      </c>
      <c r="B6372" t="str">
        <f>"LB3282"</f>
        <v>LB3282</v>
      </c>
      <c r="C6372" t="s">
        <v>6239</v>
      </c>
    </row>
    <row r="6373" spans="1:3" x14ac:dyDescent="0.25">
      <c r="A6373" t="str">
        <f>"0611835521100"</f>
        <v>0611835521100</v>
      </c>
      <c r="B6373" t="str">
        <f>"LB3283"</f>
        <v>LB3283</v>
      </c>
      <c r="C6373" t="s">
        <v>6241</v>
      </c>
    </row>
    <row r="6374" spans="1:3" x14ac:dyDescent="0.25">
      <c r="A6374" t="str">
        <f>"0611835522100"</f>
        <v>0611835522100</v>
      </c>
      <c r="B6374" t="str">
        <f>"LB3339"</f>
        <v>LB3339</v>
      </c>
      <c r="C6374" t="s">
        <v>6242</v>
      </c>
    </row>
    <row r="6375" spans="1:3" x14ac:dyDescent="0.25">
      <c r="A6375" t="str">
        <f>"0611835523100"</f>
        <v>0611835523100</v>
      </c>
      <c r="B6375" t="str">
        <f>"LB3340"</f>
        <v>LB3340</v>
      </c>
      <c r="C6375" t="s">
        <v>6243</v>
      </c>
    </row>
    <row r="6376" spans="1:3" x14ac:dyDescent="0.25">
      <c r="A6376" t="str">
        <f>"0611835530100"</f>
        <v>0611835530100</v>
      </c>
      <c r="B6376" t="str">
        <f>"LK5475"</f>
        <v>LK5475</v>
      </c>
      <c r="C6376" t="s">
        <v>6248</v>
      </c>
    </row>
    <row r="6377" spans="1:3" x14ac:dyDescent="0.25">
      <c r="A6377" t="str">
        <f>"0611835531100"</f>
        <v>0611835531100</v>
      </c>
      <c r="B6377" t="str">
        <f>"LK5476"</f>
        <v>LK5476</v>
      </c>
      <c r="C6377" t="s">
        <v>6249</v>
      </c>
    </row>
    <row r="6378" spans="1:3" x14ac:dyDescent="0.25">
      <c r="A6378" t="str">
        <f>"0611906809100"</f>
        <v>0611906809100</v>
      </c>
      <c r="B6378" t="str">
        <f>"LK7261"</f>
        <v>LK7261</v>
      </c>
      <c r="C6378" t="s">
        <v>6250</v>
      </c>
    </row>
    <row r="6379" spans="1:3" x14ac:dyDescent="0.25">
      <c r="A6379" t="str">
        <f>"0611906810100"</f>
        <v>0611906810100</v>
      </c>
      <c r="B6379" t="str">
        <f>"LK7262"</f>
        <v>LK7262</v>
      </c>
      <c r="C6379" t="s">
        <v>6251</v>
      </c>
    </row>
    <row r="6380" spans="1:3" x14ac:dyDescent="0.25">
      <c r="A6380" t="str">
        <f>"0611835532100"</f>
        <v>0611835532100</v>
      </c>
      <c r="B6380" t="str">
        <f>"LK5477"</f>
        <v>LK5477</v>
      </c>
      <c r="C6380" t="s">
        <v>6252</v>
      </c>
    </row>
    <row r="6381" spans="1:3" x14ac:dyDescent="0.25">
      <c r="A6381" t="str">
        <f>"0611835533100"</f>
        <v>0611835533100</v>
      </c>
      <c r="B6381" t="str">
        <f>"LK5545"</f>
        <v>LK5545</v>
      </c>
      <c r="C6381" t="s">
        <v>6253</v>
      </c>
    </row>
    <row r="6382" spans="1:3" x14ac:dyDescent="0.25">
      <c r="A6382" t="str">
        <f>"0611835534100"</f>
        <v>0611835534100</v>
      </c>
      <c r="B6382" t="str">
        <f>"LK5478"</f>
        <v>LK5478</v>
      </c>
      <c r="C6382" t="s">
        <v>6254</v>
      </c>
    </row>
    <row r="6383" spans="1:3" x14ac:dyDescent="0.25">
      <c r="A6383" t="str">
        <f>"0611835535100"</f>
        <v>0611835535100</v>
      </c>
      <c r="B6383" t="str">
        <f>"LK5479"</f>
        <v>LK5479</v>
      </c>
      <c r="C6383" t="s">
        <v>6255</v>
      </c>
    </row>
    <row r="6384" spans="1:3" x14ac:dyDescent="0.25">
      <c r="A6384" t="str">
        <f>"0611835618100"</f>
        <v>0611835618100</v>
      </c>
      <c r="B6384" t="str">
        <f>"MB3290"</f>
        <v>MB3290</v>
      </c>
      <c r="C6384" t="s">
        <v>6256</v>
      </c>
    </row>
    <row r="6385" spans="1:3" x14ac:dyDescent="0.25">
      <c r="A6385" t="str">
        <f>"0611835619025"</f>
        <v>0611835619025</v>
      </c>
      <c r="B6385" t="str">
        <f>"MC2303"</f>
        <v>MC2303</v>
      </c>
      <c r="C6385" t="s">
        <v>6257</v>
      </c>
    </row>
    <row r="6386" spans="1:3" x14ac:dyDescent="0.25">
      <c r="A6386" t="str">
        <f>"0611835540100"</f>
        <v>0611835540100</v>
      </c>
      <c r="B6386" t="str">
        <f>"LQ5358"</f>
        <v>LQ5358</v>
      </c>
      <c r="C6386" t="s">
        <v>6259</v>
      </c>
    </row>
    <row r="6387" spans="1:3" x14ac:dyDescent="0.25">
      <c r="A6387" t="str">
        <f>"0611835541100"</f>
        <v>0611835541100</v>
      </c>
      <c r="B6387" t="str">
        <f>"LK6797"</f>
        <v>LK6797</v>
      </c>
      <c r="C6387" t="s">
        <v>6260</v>
      </c>
    </row>
    <row r="6388" spans="1:3" x14ac:dyDescent="0.25">
      <c r="A6388" t="str">
        <f>"0611835542100"</f>
        <v>0611835542100</v>
      </c>
      <c r="B6388" t="str">
        <f>"LQ6140"</f>
        <v>LQ6140</v>
      </c>
      <c r="C6388" t="s">
        <v>6261</v>
      </c>
    </row>
    <row r="6389" spans="1:3" x14ac:dyDescent="0.25">
      <c r="A6389" t="str">
        <f>"0611835543100"</f>
        <v>0611835543100</v>
      </c>
      <c r="B6389" t="str">
        <f>"LQ6141"</f>
        <v>LQ6141</v>
      </c>
      <c r="C6389" t="s">
        <v>6262</v>
      </c>
    </row>
    <row r="6390" spans="1:3" x14ac:dyDescent="0.25">
      <c r="A6390" t="str">
        <f>"0611835545100"</f>
        <v>0611835545100</v>
      </c>
      <c r="B6390" t="str">
        <f>"LQ6082"</f>
        <v>LQ6082</v>
      </c>
      <c r="C6390" t="s">
        <v>6263</v>
      </c>
    </row>
    <row r="6391" spans="1:3" x14ac:dyDescent="0.25">
      <c r="A6391" t="str">
        <f>"0611835546100"</f>
        <v>0611835546100</v>
      </c>
      <c r="B6391" t="str">
        <f>"LQ5361"</f>
        <v>LQ5361</v>
      </c>
      <c r="C6391" t="s">
        <v>6264</v>
      </c>
    </row>
    <row r="6392" spans="1:3" x14ac:dyDescent="0.25">
      <c r="A6392" t="str">
        <f>"0611856994100"</f>
        <v>0611856994100</v>
      </c>
      <c r="B6392" t="str">
        <f>"LQ6256"</f>
        <v>LQ6256</v>
      </c>
      <c r="C6392" t="s">
        <v>6265</v>
      </c>
    </row>
    <row r="6393" spans="1:3" x14ac:dyDescent="0.25">
      <c r="A6393" t="str">
        <f>"0611835592100"</f>
        <v>0611835592100</v>
      </c>
      <c r="B6393" t="str">
        <f>"LQ6234"</f>
        <v>LQ6234</v>
      </c>
      <c r="C6393" t="s">
        <v>6266</v>
      </c>
    </row>
    <row r="6394" spans="1:3" x14ac:dyDescent="0.25">
      <c r="A6394" t="str">
        <f>"0611835593100"</f>
        <v>0611835593100</v>
      </c>
      <c r="B6394" t="str">
        <f>"LQ6191"</f>
        <v>LQ6191</v>
      </c>
      <c r="C6394" t="s">
        <v>6267</v>
      </c>
    </row>
    <row r="6395" spans="1:3" x14ac:dyDescent="0.25">
      <c r="A6395" t="str">
        <f>"0611835594100"</f>
        <v>0611835594100</v>
      </c>
      <c r="B6395" t="str">
        <f>"LQ6192"</f>
        <v>LQ6192</v>
      </c>
      <c r="C6395" t="s">
        <v>6268</v>
      </c>
    </row>
    <row r="6396" spans="1:3" x14ac:dyDescent="0.25">
      <c r="A6396" t="str">
        <f>"0611835547100"</f>
        <v>0611835547100</v>
      </c>
      <c r="B6396" t="str">
        <f>"LQ6235"</f>
        <v>LQ6235</v>
      </c>
      <c r="C6396" t="s">
        <v>6269</v>
      </c>
    </row>
    <row r="6397" spans="1:3" x14ac:dyDescent="0.25">
      <c r="A6397" t="str">
        <f>"0611835595100"</f>
        <v>0611835595100</v>
      </c>
      <c r="B6397" t="str">
        <f>"LQ6236"</f>
        <v>LQ6236</v>
      </c>
      <c r="C6397" t="s">
        <v>6270</v>
      </c>
    </row>
    <row r="6398" spans="1:3" x14ac:dyDescent="0.25">
      <c r="A6398" t="str">
        <f>"0611835548100"</f>
        <v>0611835548100</v>
      </c>
      <c r="B6398" t="str">
        <f>"LQ6193"</f>
        <v>LQ6193</v>
      </c>
      <c r="C6398" t="s">
        <v>6271</v>
      </c>
    </row>
    <row r="6399" spans="1:3" x14ac:dyDescent="0.25">
      <c r="A6399" t="str">
        <f>"0611835549100"</f>
        <v>0611835549100</v>
      </c>
      <c r="B6399" t="str">
        <f>"LQ6194"</f>
        <v>LQ6194</v>
      </c>
      <c r="C6399" t="s">
        <v>6272</v>
      </c>
    </row>
    <row r="6400" spans="1:3" x14ac:dyDescent="0.25">
      <c r="A6400" t="str">
        <f>"0611835550100"</f>
        <v>0611835550100</v>
      </c>
      <c r="B6400" t="str">
        <f>"LQ5028"</f>
        <v>LQ5028</v>
      </c>
      <c r="C6400" t="s">
        <v>6273</v>
      </c>
    </row>
    <row r="6401" spans="1:3" x14ac:dyDescent="0.25">
      <c r="A6401" t="str">
        <f>"0611835551100"</f>
        <v>0611835551100</v>
      </c>
      <c r="B6401" t="str">
        <f>"LQ5029"</f>
        <v>LQ5029</v>
      </c>
      <c r="C6401" t="s">
        <v>6274</v>
      </c>
    </row>
    <row r="6402" spans="1:3" x14ac:dyDescent="0.25">
      <c r="A6402" t="str">
        <f>"0611835552100"</f>
        <v>0611835552100</v>
      </c>
      <c r="B6402" t="str">
        <f>"LQ5362"</f>
        <v>LQ5362</v>
      </c>
      <c r="C6402" t="s">
        <v>6275</v>
      </c>
    </row>
    <row r="6403" spans="1:3" x14ac:dyDescent="0.25">
      <c r="A6403" t="str">
        <f>"0611835553100"</f>
        <v>0611835553100</v>
      </c>
      <c r="B6403" t="str">
        <f>"LQ5031"</f>
        <v>LQ5031</v>
      </c>
      <c r="C6403" t="s">
        <v>6276</v>
      </c>
    </row>
    <row r="6404" spans="1:3" x14ac:dyDescent="0.25">
      <c r="A6404" t="str">
        <f>"0611835554100"</f>
        <v>0611835554100</v>
      </c>
      <c r="B6404" t="str">
        <f>"LQ5032"</f>
        <v>LQ5032</v>
      </c>
      <c r="C6404" t="s">
        <v>6277</v>
      </c>
    </row>
    <row r="6405" spans="1:3" x14ac:dyDescent="0.25">
      <c r="A6405" t="str">
        <f>"0611835556100"</f>
        <v>0611835556100</v>
      </c>
      <c r="B6405" t="str">
        <f>"LQ5364"</f>
        <v>LQ5364</v>
      </c>
      <c r="C6405" t="s">
        <v>6278</v>
      </c>
    </row>
    <row r="6406" spans="1:3" x14ac:dyDescent="0.25">
      <c r="A6406" t="str">
        <f>"0611835557100"</f>
        <v>0611835557100</v>
      </c>
      <c r="B6406" t="str">
        <f>"LQ5033"</f>
        <v>LQ5033</v>
      </c>
      <c r="C6406" t="s">
        <v>6279</v>
      </c>
    </row>
    <row r="6407" spans="1:3" x14ac:dyDescent="0.25">
      <c r="A6407" t="str">
        <f>"0611835558100"</f>
        <v>0611835558100</v>
      </c>
      <c r="B6407" t="str">
        <f>"LK6798"</f>
        <v>LK6798</v>
      </c>
      <c r="C6407" t="s">
        <v>6280</v>
      </c>
    </row>
    <row r="6408" spans="1:3" x14ac:dyDescent="0.25">
      <c r="A6408" t="str">
        <f>"0611835559100"</f>
        <v>0611835559100</v>
      </c>
      <c r="B6408" t="str">
        <f>"LQ0445"</f>
        <v>LQ0445</v>
      </c>
      <c r="C6408" t="s">
        <v>6281</v>
      </c>
    </row>
    <row r="6409" spans="1:3" x14ac:dyDescent="0.25">
      <c r="A6409" t="str">
        <f>"0611835560100"</f>
        <v>0611835560100</v>
      </c>
      <c r="B6409" t="str">
        <f>"LQ5042"</f>
        <v>LQ5042</v>
      </c>
      <c r="C6409" t="s">
        <v>6282</v>
      </c>
    </row>
    <row r="6410" spans="1:3" x14ac:dyDescent="0.25">
      <c r="A6410" t="str">
        <f>"0611835561100"</f>
        <v>0611835561100</v>
      </c>
      <c r="B6410" t="str">
        <f>"LQ5953"</f>
        <v>LQ5953</v>
      </c>
      <c r="C6410" t="s">
        <v>6283</v>
      </c>
    </row>
    <row r="6411" spans="1:3" x14ac:dyDescent="0.25">
      <c r="A6411" t="str">
        <f>"0611835563100"</f>
        <v>0611835563100</v>
      </c>
      <c r="B6411" t="str">
        <f>"LQ5045"</f>
        <v>LQ5045</v>
      </c>
      <c r="C6411" t="s">
        <v>6284</v>
      </c>
    </row>
    <row r="6412" spans="1:3" x14ac:dyDescent="0.25">
      <c r="A6412" t="str">
        <f>"0611835564100"</f>
        <v>0611835564100</v>
      </c>
      <c r="B6412" t="str">
        <f>"LQ5515"</f>
        <v>LQ5515</v>
      </c>
      <c r="C6412" t="s">
        <v>6285</v>
      </c>
    </row>
    <row r="6413" spans="1:3" x14ac:dyDescent="0.25">
      <c r="A6413" t="str">
        <f>"0611835565100"</f>
        <v>0611835565100</v>
      </c>
      <c r="B6413" t="str">
        <f>"LQ5516"</f>
        <v>LQ5516</v>
      </c>
      <c r="C6413" t="s">
        <v>6286</v>
      </c>
    </row>
    <row r="6414" spans="1:3" x14ac:dyDescent="0.25">
      <c r="A6414" t="str">
        <f>"0611835566100"</f>
        <v>0611835566100</v>
      </c>
      <c r="B6414" t="str">
        <f>"LQ6098"</f>
        <v>LQ6098</v>
      </c>
      <c r="C6414" t="s">
        <v>6287</v>
      </c>
    </row>
    <row r="6415" spans="1:3" x14ac:dyDescent="0.25">
      <c r="A6415" t="str">
        <f>"0611835567100"</f>
        <v>0611835567100</v>
      </c>
      <c r="B6415" t="str">
        <f>"LQ5050"</f>
        <v>LQ5050</v>
      </c>
      <c r="C6415" t="s">
        <v>6288</v>
      </c>
    </row>
    <row r="6416" spans="1:3" x14ac:dyDescent="0.25">
      <c r="A6416" t="str">
        <f>"0611835568100"</f>
        <v>0611835568100</v>
      </c>
      <c r="B6416" t="str">
        <f>"LQ5239"</f>
        <v>LQ5239</v>
      </c>
      <c r="C6416" t="s">
        <v>6289</v>
      </c>
    </row>
    <row r="6417" spans="1:3" x14ac:dyDescent="0.25">
      <c r="A6417" t="str">
        <f>"0611835570100"</f>
        <v>0611835570100</v>
      </c>
      <c r="B6417" t="str">
        <f>"LQ5718"</f>
        <v>LQ5718</v>
      </c>
      <c r="C6417" t="s">
        <v>6290</v>
      </c>
    </row>
    <row r="6418" spans="1:3" x14ac:dyDescent="0.25">
      <c r="A6418" t="str">
        <f>"0611835571100"</f>
        <v>0611835571100</v>
      </c>
      <c r="B6418" t="str">
        <f>"LQ6139"</f>
        <v>LQ6139</v>
      </c>
      <c r="C6418" t="s">
        <v>6291</v>
      </c>
    </row>
    <row r="6419" spans="1:3" x14ac:dyDescent="0.25">
      <c r="A6419" t="str">
        <f>"0611835572100"</f>
        <v>0611835572100</v>
      </c>
      <c r="B6419" t="str">
        <f>"LQ6017"</f>
        <v>LQ6017</v>
      </c>
      <c r="C6419" t="s">
        <v>6292</v>
      </c>
    </row>
    <row r="6420" spans="1:3" x14ac:dyDescent="0.25">
      <c r="A6420" t="str">
        <f>"0611835573100"</f>
        <v>0611835573100</v>
      </c>
      <c r="B6420" t="str">
        <f>"LQ6018"</f>
        <v>LQ6018</v>
      </c>
      <c r="C6420" t="s">
        <v>6293</v>
      </c>
    </row>
    <row r="6421" spans="1:3" x14ac:dyDescent="0.25">
      <c r="A6421" t="str">
        <f>"0611835575100"</f>
        <v>0611835575100</v>
      </c>
      <c r="B6421" t="str">
        <f>"LQ6020"</f>
        <v>LQ6020</v>
      </c>
      <c r="C6421" t="s">
        <v>6294</v>
      </c>
    </row>
    <row r="6422" spans="1:3" x14ac:dyDescent="0.25">
      <c r="A6422" t="str">
        <f>"0611835576100"</f>
        <v>0611835576100</v>
      </c>
      <c r="B6422" t="str">
        <f>"LQ5054"</f>
        <v>LQ5054</v>
      </c>
      <c r="C6422" t="s">
        <v>6295</v>
      </c>
    </row>
    <row r="6423" spans="1:3" x14ac:dyDescent="0.25">
      <c r="A6423" t="str">
        <f>"0611835577100"</f>
        <v>0611835577100</v>
      </c>
      <c r="B6423" t="str">
        <f>"LQ5055"</f>
        <v>LQ5055</v>
      </c>
      <c r="C6423" t="s">
        <v>13870</v>
      </c>
    </row>
    <row r="6424" spans="1:3" x14ac:dyDescent="0.25">
      <c r="A6424" t="str">
        <f>"0611835578100"</f>
        <v>0611835578100</v>
      </c>
      <c r="B6424" t="str">
        <f>"LQ5517"</f>
        <v>LQ5517</v>
      </c>
      <c r="C6424" t="s">
        <v>6296</v>
      </c>
    </row>
    <row r="6425" spans="1:3" x14ac:dyDescent="0.25">
      <c r="A6425" t="str">
        <f>"0611835579100"</f>
        <v>0611835579100</v>
      </c>
      <c r="B6425" t="str">
        <f>"LQ5954"</f>
        <v>LQ5954</v>
      </c>
      <c r="C6425" t="s">
        <v>6297</v>
      </c>
    </row>
    <row r="6426" spans="1:3" x14ac:dyDescent="0.25">
      <c r="A6426" t="str">
        <f>"0611835580100"</f>
        <v>0611835580100</v>
      </c>
      <c r="B6426" t="str">
        <f>"LQ5489"</f>
        <v>LQ5489</v>
      </c>
      <c r="C6426" t="s">
        <v>6298</v>
      </c>
    </row>
    <row r="6427" spans="1:3" x14ac:dyDescent="0.25">
      <c r="A6427" t="str">
        <f>"0611835581100"</f>
        <v>0611835581100</v>
      </c>
      <c r="B6427" t="str">
        <f>"LQ5521"</f>
        <v>LQ5521</v>
      </c>
      <c r="C6427" t="s">
        <v>6299</v>
      </c>
    </row>
    <row r="6428" spans="1:3" x14ac:dyDescent="0.25">
      <c r="A6428" t="str">
        <f>"0611835585100"</f>
        <v>0611835585100</v>
      </c>
      <c r="B6428" t="str">
        <f>"LQ5962"</f>
        <v>LQ5962</v>
      </c>
      <c r="C6428" t="s">
        <v>6300</v>
      </c>
    </row>
    <row r="6429" spans="1:3" x14ac:dyDescent="0.25">
      <c r="A6429" t="str">
        <f>"0611835586100"</f>
        <v>0611835586100</v>
      </c>
      <c r="B6429" t="str">
        <f>"LK6799"</f>
        <v>LK6799</v>
      </c>
      <c r="C6429" t="s">
        <v>6301</v>
      </c>
    </row>
    <row r="6430" spans="1:3" x14ac:dyDescent="0.25">
      <c r="A6430" t="str">
        <f>"0611835587100"</f>
        <v>0611835587100</v>
      </c>
      <c r="B6430" t="str">
        <f>"LQ5059"</f>
        <v>LQ5059</v>
      </c>
      <c r="C6430" t="s">
        <v>6302</v>
      </c>
    </row>
    <row r="6431" spans="1:3" x14ac:dyDescent="0.25">
      <c r="A6431" t="str">
        <f>"0611835588100"</f>
        <v>0611835588100</v>
      </c>
      <c r="B6431" t="str">
        <f>"LQ5060"</f>
        <v>LQ5060</v>
      </c>
      <c r="C6431" t="s">
        <v>6303</v>
      </c>
    </row>
    <row r="6432" spans="1:3" x14ac:dyDescent="0.25">
      <c r="A6432" t="str">
        <f>"0611835596100"</f>
        <v>0611835596100</v>
      </c>
      <c r="B6432" t="str">
        <f>"LK6903"</f>
        <v>LK6903</v>
      </c>
      <c r="C6432" t="s">
        <v>6304</v>
      </c>
    </row>
    <row r="6433" spans="1:3" x14ac:dyDescent="0.25">
      <c r="A6433" t="str">
        <f>"0611835597100"</f>
        <v>0611835597100</v>
      </c>
      <c r="B6433" t="str">
        <f>"LK6548"</f>
        <v>LK6548</v>
      </c>
      <c r="C6433" t="s">
        <v>6305</v>
      </c>
    </row>
    <row r="6434" spans="1:3" x14ac:dyDescent="0.25">
      <c r="A6434" t="str">
        <f>"0611835599100"</f>
        <v>0611835599100</v>
      </c>
      <c r="B6434" t="str">
        <f>"LK6549"</f>
        <v>LK6549</v>
      </c>
      <c r="C6434" t="s">
        <v>6307</v>
      </c>
    </row>
    <row r="6435" spans="1:3" x14ac:dyDescent="0.25">
      <c r="A6435" t="str">
        <f>"0611862593050"</f>
        <v>0611862593050</v>
      </c>
      <c r="B6435" t="str">
        <f>"CE1258"</f>
        <v>CE1258</v>
      </c>
      <c r="C6435" t="s">
        <v>13871</v>
      </c>
    </row>
    <row r="6436" spans="1:3" x14ac:dyDescent="0.25">
      <c r="A6436" t="str">
        <f>"0611835598100"</f>
        <v>0611835598100</v>
      </c>
      <c r="B6436" t="str">
        <f>"LK6550"</f>
        <v>LK6550</v>
      </c>
      <c r="C6436" t="s">
        <v>6306</v>
      </c>
    </row>
    <row r="6437" spans="1:3" x14ac:dyDescent="0.25">
      <c r="A6437" t="str">
        <f>"0611862594050"</f>
        <v>0611862594050</v>
      </c>
      <c r="B6437" t="str">
        <f>"CE1259"</f>
        <v>CE1259</v>
      </c>
      <c r="C6437" t="s">
        <v>13872</v>
      </c>
    </row>
    <row r="6438" spans="1:3" x14ac:dyDescent="0.25">
      <c r="A6438" t="str">
        <f>"0611835600100"</f>
        <v>0611835600100</v>
      </c>
      <c r="B6438" t="str">
        <f>"LK6904"</f>
        <v>LK6904</v>
      </c>
      <c r="C6438" t="s">
        <v>6308</v>
      </c>
    </row>
    <row r="6439" spans="1:3" x14ac:dyDescent="0.25">
      <c r="A6439" t="str">
        <f>"0611835601100"</f>
        <v>0611835601100</v>
      </c>
      <c r="B6439" t="str">
        <f>"LK6800"</f>
        <v>LK6800</v>
      </c>
      <c r="C6439" t="s">
        <v>6309</v>
      </c>
    </row>
    <row r="6440" spans="1:3" x14ac:dyDescent="0.25">
      <c r="A6440" t="str">
        <f>"0611835602100"</f>
        <v>0611835602100</v>
      </c>
      <c r="B6440" t="str">
        <f>"LK6801"</f>
        <v>LK6801</v>
      </c>
      <c r="C6440" t="s">
        <v>6310</v>
      </c>
    </row>
    <row r="6441" spans="1:3" x14ac:dyDescent="0.25">
      <c r="A6441" t="str">
        <f>"0611835604100"</f>
        <v>0611835604100</v>
      </c>
      <c r="B6441" t="str">
        <f>"LK6552"</f>
        <v>LK6552</v>
      </c>
      <c r="C6441" t="s">
        <v>6312</v>
      </c>
    </row>
    <row r="6442" spans="1:3" x14ac:dyDescent="0.25">
      <c r="A6442" t="str">
        <f>"0611835603100"</f>
        <v>0611835603100</v>
      </c>
      <c r="B6442" t="str">
        <f>"LK6802"</f>
        <v>LK6802</v>
      </c>
      <c r="C6442" t="s">
        <v>6311</v>
      </c>
    </row>
    <row r="6443" spans="1:3" x14ac:dyDescent="0.25">
      <c r="A6443" t="str">
        <f>"0611835605100"</f>
        <v>0611835605100</v>
      </c>
      <c r="B6443" t="str">
        <f>"LK6553"</f>
        <v>LK6553</v>
      </c>
      <c r="C6443" t="s">
        <v>6313</v>
      </c>
    </row>
    <row r="6444" spans="1:3" x14ac:dyDescent="0.25">
      <c r="A6444" t="str">
        <f>"0611862595050"</f>
        <v>0611862595050</v>
      </c>
      <c r="B6444" t="str">
        <f>"CE1261"</f>
        <v>CE1261</v>
      </c>
      <c r="C6444" t="s">
        <v>13873</v>
      </c>
    </row>
    <row r="6445" spans="1:3" x14ac:dyDescent="0.25">
      <c r="A6445" t="str">
        <f>"0611835606100"</f>
        <v>0611835606100</v>
      </c>
      <c r="B6445" t="str">
        <f>"LK6905"</f>
        <v>LK6905</v>
      </c>
      <c r="C6445" t="s">
        <v>6314</v>
      </c>
    </row>
    <row r="6446" spans="1:3" x14ac:dyDescent="0.25">
      <c r="A6446" t="str">
        <f>"0611835607100"</f>
        <v>0611835607100</v>
      </c>
      <c r="B6446" t="str">
        <f>"LK6554"</f>
        <v>LK6554</v>
      </c>
      <c r="C6446" t="s">
        <v>6315</v>
      </c>
    </row>
    <row r="6447" spans="1:3" x14ac:dyDescent="0.25">
      <c r="A6447" t="str">
        <f>"0611835608100"</f>
        <v>0611835608100</v>
      </c>
      <c r="B6447" t="str">
        <f>"LK6906"</f>
        <v>LK6906</v>
      </c>
      <c r="C6447" t="s">
        <v>6316</v>
      </c>
    </row>
    <row r="6448" spans="1:3" x14ac:dyDescent="0.25">
      <c r="A6448" t="str">
        <f>"0611835609100"</f>
        <v>0611835609100</v>
      </c>
      <c r="B6448" t="str">
        <f>"LK6555"</f>
        <v>LK6555</v>
      </c>
      <c r="C6448" t="s">
        <v>6317</v>
      </c>
    </row>
    <row r="6449" spans="1:3" x14ac:dyDescent="0.25">
      <c r="A6449" t="str">
        <f>"0611862596050"</f>
        <v>0611862596050</v>
      </c>
      <c r="B6449" t="str">
        <f>"CE1262"</f>
        <v>CE1262</v>
      </c>
      <c r="C6449" t="s">
        <v>13874</v>
      </c>
    </row>
    <row r="6450" spans="1:3" x14ac:dyDescent="0.25">
      <c r="A6450" t="str">
        <f>"0611835610100"</f>
        <v>0611835610100</v>
      </c>
      <c r="B6450" t="str">
        <f>"LK6556"</f>
        <v>LK6556</v>
      </c>
      <c r="C6450" t="s">
        <v>6318</v>
      </c>
    </row>
    <row r="6451" spans="1:3" x14ac:dyDescent="0.25">
      <c r="A6451" t="str">
        <f>"0611862597050"</f>
        <v>0611862597050</v>
      </c>
      <c r="B6451" t="str">
        <f>"CE1263"</f>
        <v>CE1263</v>
      </c>
      <c r="C6451" t="s">
        <v>13875</v>
      </c>
    </row>
    <row r="6452" spans="1:3" x14ac:dyDescent="0.25">
      <c r="A6452" t="str">
        <f>"0611835620100"</f>
        <v>0611835620100</v>
      </c>
      <c r="B6452" t="str">
        <f>"LK4670"</f>
        <v>LK4670</v>
      </c>
      <c r="C6452" t="s">
        <v>6319</v>
      </c>
    </row>
    <row r="6453" spans="1:3" x14ac:dyDescent="0.25">
      <c r="A6453" t="str">
        <f>"0611835621100"</f>
        <v>0611835621100</v>
      </c>
      <c r="B6453" t="str">
        <f>"LK4671"</f>
        <v>LK4671</v>
      </c>
      <c r="C6453" t="s">
        <v>6320</v>
      </c>
    </row>
    <row r="6454" spans="1:3" x14ac:dyDescent="0.25">
      <c r="A6454" t="str">
        <f>"0611835623100"</f>
        <v>0611835623100</v>
      </c>
      <c r="B6454" t="str">
        <f>"LK4476"</f>
        <v>LK4476</v>
      </c>
      <c r="C6454" t="s">
        <v>6321</v>
      </c>
    </row>
    <row r="6455" spans="1:3" x14ac:dyDescent="0.25">
      <c r="A6455" t="str">
        <f>"0611835624100"</f>
        <v>0611835624100</v>
      </c>
      <c r="B6455" t="str">
        <f>"LK4846"</f>
        <v>LK4846</v>
      </c>
      <c r="C6455" t="s">
        <v>6322</v>
      </c>
    </row>
    <row r="6456" spans="1:3" x14ac:dyDescent="0.25">
      <c r="A6456" t="str">
        <f>"0611835625100"</f>
        <v>0611835625100</v>
      </c>
      <c r="B6456" t="str">
        <f>"LK4940"</f>
        <v>LK4940</v>
      </c>
      <c r="C6456" t="s">
        <v>6323</v>
      </c>
    </row>
    <row r="6457" spans="1:3" x14ac:dyDescent="0.25">
      <c r="A6457" t="str">
        <f>"0611835626100"</f>
        <v>0611835626100</v>
      </c>
      <c r="B6457" t="str">
        <f>"LK5011"</f>
        <v>LK5011</v>
      </c>
      <c r="C6457" t="s">
        <v>6324</v>
      </c>
    </row>
    <row r="6458" spans="1:3" x14ac:dyDescent="0.25">
      <c r="A6458" t="str">
        <f>"0611835627100"</f>
        <v>0611835627100</v>
      </c>
      <c r="B6458" t="str">
        <f>"LK4673"</f>
        <v>LK4673</v>
      </c>
      <c r="C6458" t="s">
        <v>6325</v>
      </c>
    </row>
    <row r="6459" spans="1:3" x14ac:dyDescent="0.25">
      <c r="A6459" t="str">
        <f>"0611835629100"</f>
        <v>0611835629100</v>
      </c>
      <c r="B6459" t="str">
        <f>"LK4674"</f>
        <v>LK4674</v>
      </c>
      <c r="C6459" t="s">
        <v>6326</v>
      </c>
    </row>
    <row r="6460" spans="1:3" x14ac:dyDescent="0.25">
      <c r="A6460" t="str">
        <f>"0611835630100"</f>
        <v>0611835630100</v>
      </c>
      <c r="B6460" t="str">
        <f>"LK4675"</f>
        <v>LK4675</v>
      </c>
      <c r="C6460" t="s">
        <v>6327</v>
      </c>
    </row>
    <row r="6461" spans="1:3" x14ac:dyDescent="0.25">
      <c r="A6461" t="str">
        <f>"0611835632100"</f>
        <v>0611835632100</v>
      </c>
      <c r="B6461" t="str">
        <f>"LK4676"</f>
        <v>LK4676</v>
      </c>
      <c r="C6461" t="s">
        <v>6328</v>
      </c>
    </row>
    <row r="6462" spans="1:3" x14ac:dyDescent="0.25">
      <c r="A6462" t="str">
        <f>"0611835633100"</f>
        <v>0611835633100</v>
      </c>
      <c r="B6462" t="str">
        <f>"LK4482"</f>
        <v>LK4482</v>
      </c>
      <c r="C6462" t="s">
        <v>6329</v>
      </c>
    </row>
    <row r="6463" spans="1:3" x14ac:dyDescent="0.25">
      <c r="A6463" t="str">
        <f>"0611835634100"</f>
        <v>0611835634100</v>
      </c>
      <c r="B6463" t="str">
        <f>"LK4677"</f>
        <v>LK4677</v>
      </c>
      <c r="C6463" t="s">
        <v>6330</v>
      </c>
    </row>
    <row r="6464" spans="1:3" x14ac:dyDescent="0.25">
      <c r="A6464" t="str">
        <f>"0611835611100"</f>
        <v>0611835611100</v>
      </c>
      <c r="B6464" t="str">
        <f>"LB3630"</f>
        <v>LB3630</v>
      </c>
      <c r="C6464" t="s">
        <v>6364</v>
      </c>
    </row>
    <row r="6465" spans="1:3" x14ac:dyDescent="0.25">
      <c r="A6465" t="str">
        <f>"0611835612100"</f>
        <v>0611835612100</v>
      </c>
      <c r="B6465" t="str">
        <f>"LB3635"</f>
        <v>LB3635</v>
      </c>
      <c r="C6465" t="s">
        <v>6377</v>
      </c>
    </row>
    <row r="6466" spans="1:3" x14ac:dyDescent="0.25">
      <c r="A6466" t="str">
        <f>"0611835613100"</f>
        <v>0611835613100</v>
      </c>
      <c r="B6466" t="str">
        <f>"LB3637"</f>
        <v>LB3637</v>
      </c>
      <c r="C6466" t="s">
        <v>6450</v>
      </c>
    </row>
    <row r="6467" spans="1:3" x14ac:dyDescent="0.25">
      <c r="A6467" t="str">
        <f>"0611835614100"</f>
        <v>0611835614100</v>
      </c>
      <c r="B6467" t="str">
        <f>"LB3640"</f>
        <v>LB3640</v>
      </c>
      <c r="C6467" t="s">
        <v>6457</v>
      </c>
    </row>
    <row r="6468" spans="1:3" x14ac:dyDescent="0.25">
      <c r="A6468" t="str">
        <f>"0611835615100"</f>
        <v>0611835615100</v>
      </c>
      <c r="B6468" t="str">
        <f>"LB3642"</f>
        <v>LB3642</v>
      </c>
      <c r="C6468" t="s">
        <v>6473</v>
      </c>
    </row>
    <row r="6469" spans="1:3" x14ac:dyDescent="0.25">
      <c r="A6469" t="str">
        <f>"0611835616100"</f>
        <v>0611835616100</v>
      </c>
      <c r="B6469" t="str">
        <f>"LB3646"</f>
        <v>LB3646</v>
      </c>
      <c r="C6469" t="s">
        <v>6612</v>
      </c>
    </row>
    <row r="6470" spans="1:3" x14ac:dyDescent="0.25">
      <c r="A6470" t="str">
        <f>"0611835617100"</f>
        <v>0611835617100</v>
      </c>
      <c r="B6470" t="str">
        <f>"LB3650"</f>
        <v>LB3650</v>
      </c>
      <c r="C6470" t="s">
        <v>6617</v>
      </c>
    </row>
    <row r="6471" spans="1:3" x14ac:dyDescent="0.25">
      <c r="A6471" t="str">
        <f>"0611835635100"</f>
        <v>0611835635100</v>
      </c>
      <c r="B6471" t="str">
        <f>"LS0053"</f>
        <v>LS0053</v>
      </c>
      <c r="C6471" t="s">
        <v>6331</v>
      </c>
    </row>
    <row r="6472" spans="1:3" x14ac:dyDescent="0.25">
      <c r="A6472" t="str">
        <f>"0611835637100"</f>
        <v>0611835637100</v>
      </c>
      <c r="B6472" t="str">
        <f>"LS0054"</f>
        <v>LS0054</v>
      </c>
      <c r="C6472" t="s">
        <v>6333</v>
      </c>
    </row>
    <row r="6473" spans="1:3" x14ac:dyDescent="0.25">
      <c r="A6473" t="str">
        <f>"0611835636100"</f>
        <v>0611835636100</v>
      </c>
      <c r="B6473" t="str">
        <f>"LS0055"</f>
        <v>LS0055</v>
      </c>
      <c r="C6473" t="s">
        <v>6332</v>
      </c>
    </row>
    <row r="6474" spans="1:3" x14ac:dyDescent="0.25">
      <c r="A6474" t="str">
        <f>"0611856995100"</f>
        <v>0611856995100</v>
      </c>
      <c r="B6474" t="str">
        <f>"LK7089"</f>
        <v>LK7089</v>
      </c>
      <c r="C6474" t="s">
        <v>6334</v>
      </c>
    </row>
    <row r="6475" spans="1:3" x14ac:dyDescent="0.25">
      <c r="A6475" t="str">
        <f>"0611862598050"</f>
        <v>0611862598050</v>
      </c>
      <c r="B6475" t="str">
        <f>"CR2402"</f>
        <v>CR2402</v>
      </c>
      <c r="C6475" t="s">
        <v>6335</v>
      </c>
    </row>
    <row r="6476" spans="1:3" x14ac:dyDescent="0.25">
      <c r="A6476" t="str">
        <f>"0611862599050"</f>
        <v>0611862599050</v>
      </c>
      <c r="B6476" t="str">
        <f>"CR3093"</f>
        <v>CR3093</v>
      </c>
      <c r="C6476" t="s">
        <v>6336</v>
      </c>
    </row>
    <row r="6477" spans="1:3" x14ac:dyDescent="0.25">
      <c r="A6477" t="str">
        <f>"0611862600050"</f>
        <v>0611862600050</v>
      </c>
      <c r="B6477" t="str">
        <f>"CR2403"</f>
        <v>CR2403</v>
      </c>
      <c r="C6477" t="s">
        <v>6337</v>
      </c>
    </row>
    <row r="6478" spans="1:3" x14ac:dyDescent="0.25">
      <c r="A6478" t="str">
        <f>"0611862601050"</f>
        <v>0611862601050</v>
      </c>
      <c r="B6478" t="str">
        <f>"CR2404"</f>
        <v>CR2404</v>
      </c>
      <c r="C6478" t="s">
        <v>6338</v>
      </c>
    </row>
    <row r="6479" spans="1:3" x14ac:dyDescent="0.25">
      <c r="A6479" t="str">
        <f>"0611862602050"</f>
        <v>0611862602050</v>
      </c>
      <c r="B6479" t="str">
        <f>"CR2711"</f>
        <v>CR2711</v>
      </c>
      <c r="C6479" t="s">
        <v>6339</v>
      </c>
    </row>
    <row r="6480" spans="1:3" x14ac:dyDescent="0.25">
      <c r="A6480" t="str">
        <f>"0611862603050"</f>
        <v>0611862603050</v>
      </c>
      <c r="B6480" t="str">
        <f>"CR2406"</f>
        <v>CR2406</v>
      </c>
      <c r="C6480" t="s">
        <v>6340</v>
      </c>
    </row>
    <row r="6481" spans="1:3" x14ac:dyDescent="0.25">
      <c r="A6481" t="str">
        <f>"0611862604050"</f>
        <v>0611862604050</v>
      </c>
      <c r="B6481" t="str">
        <f>"CR3703"</f>
        <v>CR3703</v>
      </c>
      <c r="C6481" t="s">
        <v>6341</v>
      </c>
    </row>
    <row r="6482" spans="1:3" x14ac:dyDescent="0.25">
      <c r="A6482" t="str">
        <f>"0611862605050"</f>
        <v>0611862605050</v>
      </c>
      <c r="B6482" t="str">
        <f>"CR2407"</f>
        <v>CR2407</v>
      </c>
      <c r="C6482" t="s">
        <v>6342</v>
      </c>
    </row>
    <row r="6483" spans="1:3" x14ac:dyDescent="0.25">
      <c r="A6483" t="str">
        <f>"0611862606050"</f>
        <v>0611862606050</v>
      </c>
      <c r="B6483" t="str">
        <f>"CR4078"</f>
        <v>CR4078</v>
      </c>
      <c r="C6483" t="s">
        <v>6343</v>
      </c>
    </row>
    <row r="6484" spans="1:3" x14ac:dyDescent="0.25">
      <c r="A6484" t="str">
        <f>"0611893606050"</f>
        <v>0611893606050</v>
      </c>
      <c r="B6484" t="str">
        <f>"CR5405"</f>
        <v>CR5405</v>
      </c>
      <c r="C6484" t="s">
        <v>6344</v>
      </c>
    </row>
    <row r="6485" spans="1:3" x14ac:dyDescent="0.25">
      <c r="A6485" t="str">
        <f>"0611862607050"</f>
        <v>0611862607050</v>
      </c>
      <c r="B6485" t="str">
        <f>"CR4079"</f>
        <v>CR4079</v>
      </c>
      <c r="C6485" t="s">
        <v>6345</v>
      </c>
    </row>
    <row r="6486" spans="1:3" x14ac:dyDescent="0.25">
      <c r="A6486" t="str">
        <f>"0611862608050"</f>
        <v>0611862608050</v>
      </c>
      <c r="B6486" t="str">
        <f>"CR4878"</f>
        <v>CR4878</v>
      </c>
      <c r="C6486" t="s">
        <v>6346</v>
      </c>
    </row>
    <row r="6487" spans="1:3" x14ac:dyDescent="0.25">
      <c r="A6487" t="str">
        <f>"0611862609050"</f>
        <v>0611862609050</v>
      </c>
      <c r="B6487" t="str">
        <f>"CR2408"</f>
        <v>CR2408</v>
      </c>
      <c r="C6487" t="s">
        <v>6347</v>
      </c>
    </row>
    <row r="6488" spans="1:3" x14ac:dyDescent="0.25">
      <c r="A6488" t="str">
        <f>"0611862610050"</f>
        <v>0611862610050</v>
      </c>
      <c r="B6488" t="str">
        <f>"CR2409"</f>
        <v>CR2409</v>
      </c>
      <c r="C6488" t="s">
        <v>6348</v>
      </c>
    </row>
    <row r="6489" spans="1:3" x14ac:dyDescent="0.25">
      <c r="A6489" t="str">
        <f>"0611862611050"</f>
        <v>0611862611050</v>
      </c>
      <c r="B6489" t="str">
        <f>"CR2410"</f>
        <v>CR2410</v>
      </c>
      <c r="C6489" t="s">
        <v>6349</v>
      </c>
    </row>
    <row r="6490" spans="1:3" x14ac:dyDescent="0.25">
      <c r="A6490" t="str">
        <f>"0611862612050"</f>
        <v>0611862612050</v>
      </c>
      <c r="B6490" t="str">
        <f>"CR2964"</f>
        <v>CR2964</v>
      </c>
      <c r="C6490" t="s">
        <v>6350</v>
      </c>
    </row>
    <row r="6491" spans="1:3" x14ac:dyDescent="0.25">
      <c r="A6491" t="str">
        <f>"0611862613050"</f>
        <v>0611862613050</v>
      </c>
      <c r="B6491" t="str">
        <f>"CR2411"</f>
        <v>CR2411</v>
      </c>
      <c r="C6491" t="s">
        <v>6351</v>
      </c>
    </row>
    <row r="6492" spans="1:3" x14ac:dyDescent="0.25">
      <c r="A6492" t="str">
        <f>"0611884259050"</f>
        <v>0611884259050</v>
      </c>
      <c r="B6492" t="str">
        <f>"CR5412"</f>
        <v>CR5412</v>
      </c>
      <c r="C6492" t="s">
        <v>6352</v>
      </c>
    </row>
    <row r="6493" spans="1:3" x14ac:dyDescent="0.25">
      <c r="A6493" t="str">
        <f>"0611862614050"</f>
        <v>0611862614050</v>
      </c>
      <c r="B6493" t="str">
        <f>"CR2412"</f>
        <v>CR2412</v>
      </c>
      <c r="C6493" t="s">
        <v>6353</v>
      </c>
    </row>
    <row r="6494" spans="1:3" x14ac:dyDescent="0.25">
      <c r="A6494" t="str">
        <f>"0611893607050"</f>
        <v>0611893607050</v>
      </c>
      <c r="B6494" t="str">
        <f>"CR5445"</f>
        <v>CR5445</v>
      </c>
      <c r="C6494" t="s">
        <v>6354</v>
      </c>
    </row>
    <row r="6495" spans="1:3" x14ac:dyDescent="0.25">
      <c r="A6495" t="str">
        <f>"0611862615050"</f>
        <v>0611862615050</v>
      </c>
      <c r="B6495" t="str">
        <f>"CR4080"</f>
        <v>CR4080</v>
      </c>
      <c r="C6495" t="s">
        <v>6355</v>
      </c>
    </row>
    <row r="6496" spans="1:3" x14ac:dyDescent="0.25">
      <c r="A6496" t="str">
        <f>"0611862616050"</f>
        <v>0611862616050</v>
      </c>
      <c r="B6496" t="str">
        <f>"CR2712"</f>
        <v>CR2712</v>
      </c>
      <c r="C6496" t="s">
        <v>6356</v>
      </c>
    </row>
    <row r="6497" spans="1:3" x14ac:dyDescent="0.25">
      <c r="A6497" t="str">
        <f>"0611862617050"</f>
        <v>0611862617050</v>
      </c>
      <c r="B6497" t="str">
        <f>"CR2413"</f>
        <v>CR2413</v>
      </c>
      <c r="C6497" t="s">
        <v>6357</v>
      </c>
    </row>
    <row r="6498" spans="1:3" x14ac:dyDescent="0.25">
      <c r="A6498" t="str">
        <f>"0611862618050"</f>
        <v>0611862618050</v>
      </c>
      <c r="B6498" t="str">
        <f>"CR4835"</f>
        <v>CR4835</v>
      </c>
      <c r="C6498" t="s">
        <v>6358</v>
      </c>
    </row>
    <row r="6499" spans="1:3" x14ac:dyDescent="0.25">
      <c r="A6499" t="str">
        <f>"0611862619050"</f>
        <v>0611862619050</v>
      </c>
      <c r="B6499" t="str">
        <f>"CR5197"</f>
        <v>CR5197</v>
      </c>
      <c r="C6499" t="s">
        <v>6359</v>
      </c>
    </row>
    <row r="6500" spans="1:3" x14ac:dyDescent="0.25">
      <c r="A6500" t="str">
        <f>"0611862620050"</f>
        <v>0611862620050</v>
      </c>
      <c r="B6500" t="str">
        <f>"CR5198"</f>
        <v>CR5198</v>
      </c>
      <c r="C6500" t="s">
        <v>6360</v>
      </c>
    </row>
    <row r="6501" spans="1:3" x14ac:dyDescent="0.25">
      <c r="A6501" t="str">
        <f>"0611862621050"</f>
        <v>0611862621050</v>
      </c>
      <c r="B6501" t="str">
        <f>"CR5199"</f>
        <v>CR5199</v>
      </c>
      <c r="C6501" t="s">
        <v>6361</v>
      </c>
    </row>
    <row r="6502" spans="1:3" x14ac:dyDescent="0.25">
      <c r="A6502" t="str">
        <f>"0611862622050"</f>
        <v>0611862622050</v>
      </c>
      <c r="B6502" t="str">
        <f>"CR5200"</f>
        <v>CR5200</v>
      </c>
      <c r="C6502" t="s">
        <v>6362</v>
      </c>
    </row>
    <row r="6503" spans="1:3" x14ac:dyDescent="0.25">
      <c r="A6503" t="str">
        <f>"0611862623050"</f>
        <v>0611862623050</v>
      </c>
      <c r="B6503" t="str">
        <f>"CR5201"</f>
        <v>CR5201</v>
      </c>
      <c r="C6503" t="s">
        <v>6363</v>
      </c>
    </row>
    <row r="6504" spans="1:3" x14ac:dyDescent="0.25">
      <c r="A6504" t="str">
        <f>"0611835650100"</f>
        <v>0611835650100</v>
      </c>
      <c r="B6504" t="str">
        <f>"LQ5706"</f>
        <v>LQ5706</v>
      </c>
      <c r="C6504" t="s">
        <v>6365</v>
      </c>
    </row>
    <row r="6505" spans="1:3" x14ac:dyDescent="0.25">
      <c r="A6505" t="str">
        <f>"0611835651100"</f>
        <v>0611835651100</v>
      </c>
      <c r="B6505" t="str">
        <f>"LQ5507"</f>
        <v>LQ5507</v>
      </c>
      <c r="C6505" t="s">
        <v>6366</v>
      </c>
    </row>
    <row r="6506" spans="1:3" x14ac:dyDescent="0.25">
      <c r="A6506" t="str">
        <f>"0611835652100"</f>
        <v>0611835652100</v>
      </c>
      <c r="B6506" t="str">
        <f>"LQ5325"</f>
        <v>LQ5325</v>
      </c>
      <c r="C6506" t="s">
        <v>6367</v>
      </c>
    </row>
    <row r="6507" spans="1:3" x14ac:dyDescent="0.25">
      <c r="A6507" t="str">
        <f>"0611835653100"</f>
        <v>0611835653100</v>
      </c>
      <c r="B6507" t="str">
        <f>"LQ6063"</f>
        <v>LQ6063</v>
      </c>
      <c r="C6507" t="s">
        <v>6368</v>
      </c>
    </row>
    <row r="6508" spans="1:3" x14ac:dyDescent="0.25">
      <c r="A6508" t="str">
        <f>"0611835654100"</f>
        <v>0611835654100</v>
      </c>
      <c r="B6508" t="str">
        <f>"LQ5708"</f>
        <v>LQ5708</v>
      </c>
      <c r="C6508" t="s">
        <v>6369</v>
      </c>
    </row>
    <row r="6509" spans="1:3" x14ac:dyDescent="0.25">
      <c r="A6509" t="str">
        <f>"0611835655100"</f>
        <v>0611835655100</v>
      </c>
      <c r="B6509" t="str">
        <f>"LQ5709"</f>
        <v>LQ5709</v>
      </c>
      <c r="C6509" t="s">
        <v>6370</v>
      </c>
    </row>
    <row r="6510" spans="1:3" x14ac:dyDescent="0.25">
      <c r="A6510" t="str">
        <f>"0611835656100"</f>
        <v>0611835656100</v>
      </c>
      <c r="B6510" t="str">
        <f>"LQ6233"</f>
        <v>LQ6233</v>
      </c>
      <c r="C6510" t="s">
        <v>6371</v>
      </c>
    </row>
    <row r="6511" spans="1:3" x14ac:dyDescent="0.25">
      <c r="A6511" t="str">
        <f>"0611835657100"</f>
        <v>0611835657100</v>
      </c>
      <c r="B6511" t="str">
        <f>"LQ0442"</f>
        <v>LQ0442</v>
      </c>
      <c r="C6511" t="s">
        <v>6372</v>
      </c>
    </row>
    <row r="6512" spans="1:3" x14ac:dyDescent="0.25">
      <c r="A6512" t="str">
        <f>"0611835658100"</f>
        <v>0611835658100</v>
      </c>
      <c r="B6512" t="str">
        <f>"LQ5327"</f>
        <v>LQ5327</v>
      </c>
      <c r="C6512" t="s">
        <v>6373</v>
      </c>
    </row>
    <row r="6513" spans="1:3" x14ac:dyDescent="0.25">
      <c r="A6513" t="str">
        <f>"0611835660100"</f>
        <v>0611835660100</v>
      </c>
      <c r="B6513" t="str">
        <f>"LQ5716"</f>
        <v>LQ5716</v>
      </c>
      <c r="C6513" t="s">
        <v>6374</v>
      </c>
    </row>
    <row r="6514" spans="1:3" x14ac:dyDescent="0.25">
      <c r="A6514" t="str">
        <f>"0611835538100"</f>
        <v>0611835538100</v>
      </c>
      <c r="B6514" t="str">
        <f>"LS0056"</f>
        <v>LS0056</v>
      </c>
      <c r="C6514" t="s">
        <v>6376</v>
      </c>
    </row>
    <row r="6515" spans="1:3" x14ac:dyDescent="0.25">
      <c r="A6515" t="str">
        <f>"0611835539100"</f>
        <v>0611835539100</v>
      </c>
      <c r="B6515" t="str">
        <f>"MB3300"</f>
        <v>MB3300</v>
      </c>
      <c r="C6515" t="s">
        <v>6375</v>
      </c>
    </row>
    <row r="6516" spans="1:3" x14ac:dyDescent="0.25">
      <c r="A6516" t="str">
        <f>"0611835662100"</f>
        <v>0611835662100</v>
      </c>
      <c r="B6516" t="str">
        <f>"LS0057"</f>
        <v>LS0057</v>
      </c>
      <c r="C6516" t="s">
        <v>6378</v>
      </c>
    </row>
    <row r="6517" spans="1:3" x14ac:dyDescent="0.25">
      <c r="A6517" t="str">
        <f>"0611835664100"</f>
        <v>0611835664100</v>
      </c>
      <c r="B6517" t="str">
        <f>"LQ3533"</f>
        <v>LQ3533</v>
      </c>
      <c r="C6517" t="s">
        <v>6379</v>
      </c>
    </row>
    <row r="6518" spans="1:3" x14ac:dyDescent="0.25">
      <c r="A6518" t="str">
        <f>"0611862624050"</f>
        <v>0611862624050</v>
      </c>
      <c r="B6518" t="str">
        <f>"CR2414"</f>
        <v>CR2414</v>
      </c>
      <c r="C6518" t="s">
        <v>6380</v>
      </c>
    </row>
    <row r="6519" spans="1:3" x14ac:dyDescent="0.25">
      <c r="A6519" t="str">
        <f>"0611835665100"</f>
        <v>0611835665100</v>
      </c>
      <c r="B6519" t="str">
        <f>"LQ3534"</f>
        <v>LQ3534</v>
      </c>
      <c r="C6519" t="s">
        <v>6381</v>
      </c>
    </row>
    <row r="6520" spans="1:3" x14ac:dyDescent="0.25">
      <c r="A6520" t="str">
        <f>"0611862625050"</f>
        <v>0611862625050</v>
      </c>
      <c r="B6520" t="str">
        <f>"CR2415"</f>
        <v>CR2415</v>
      </c>
      <c r="C6520" t="s">
        <v>6382</v>
      </c>
    </row>
    <row r="6521" spans="1:3" x14ac:dyDescent="0.25">
      <c r="A6521" t="str">
        <f>"0611835666100"</f>
        <v>0611835666100</v>
      </c>
      <c r="B6521" t="str">
        <f>"LQ3535"</f>
        <v>LQ3535</v>
      </c>
      <c r="C6521" t="s">
        <v>6383</v>
      </c>
    </row>
    <row r="6522" spans="1:3" x14ac:dyDescent="0.25">
      <c r="A6522" t="str">
        <f>"0611862626050"</f>
        <v>0611862626050</v>
      </c>
      <c r="B6522" t="str">
        <f>"CR2416"</f>
        <v>CR2416</v>
      </c>
      <c r="C6522" t="s">
        <v>6384</v>
      </c>
    </row>
    <row r="6523" spans="1:3" x14ac:dyDescent="0.25">
      <c r="A6523" t="str">
        <f>"0611835667100"</f>
        <v>0611835667100</v>
      </c>
      <c r="B6523" t="str">
        <f>"LQ3462"</f>
        <v>LQ3462</v>
      </c>
      <c r="C6523" t="s">
        <v>6385</v>
      </c>
    </row>
    <row r="6524" spans="1:3" x14ac:dyDescent="0.25">
      <c r="A6524" t="str">
        <f>"0611835668100"</f>
        <v>0611835668100</v>
      </c>
      <c r="B6524" t="str">
        <f>"LQ3537"</f>
        <v>LQ3537</v>
      </c>
      <c r="C6524" t="s">
        <v>6386</v>
      </c>
    </row>
    <row r="6525" spans="1:3" x14ac:dyDescent="0.25">
      <c r="A6525" t="str">
        <f>"0611862627050"</f>
        <v>0611862627050</v>
      </c>
      <c r="B6525" t="str">
        <f>"CR2870"</f>
        <v>CR2870</v>
      </c>
      <c r="C6525" t="s">
        <v>6387</v>
      </c>
    </row>
    <row r="6526" spans="1:3" x14ac:dyDescent="0.25">
      <c r="A6526" t="str">
        <f>"0611835670100"</f>
        <v>0611835670100</v>
      </c>
      <c r="B6526" t="str">
        <f>"LQ3354"</f>
        <v>LQ3354</v>
      </c>
      <c r="C6526" t="s">
        <v>6388</v>
      </c>
    </row>
    <row r="6527" spans="1:3" x14ac:dyDescent="0.25">
      <c r="A6527" t="str">
        <f>"0611862628050"</f>
        <v>0611862628050</v>
      </c>
      <c r="B6527" t="str">
        <f>"CR2713"</f>
        <v>CR2713</v>
      </c>
      <c r="C6527" t="s">
        <v>6389</v>
      </c>
    </row>
    <row r="6528" spans="1:3" x14ac:dyDescent="0.25">
      <c r="A6528" t="str">
        <f>"0611835672100"</f>
        <v>0611835672100</v>
      </c>
      <c r="B6528" t="str">
        <f>"LQ3463"</f>
        <v>LQ3463</v>
      </c>
      <c r="C6528" t="s">
        <v>6390</v>
      </c>
    </row>
    <row r="6529" spans="1:3" x14ac:dyDescent="0.25">
      <c r="A6529" t="str">
        <f>"0611862629050"</f>
        <v>0611862629050</v>
      </c>
      <c r="B6529" t="str">
        <f>"CR3361"</f>
        <v>CR3361</v>
      </c>
      <c r="C6529" t="s">
        <v>6391</v>
      </c>
    </row>
    <row r="6530" spans="1:3" x14ac:dyDescent="0.25">
      <c r="A6530" t="str">
        <f>"0611862630050"</f>
        <v>0611862630050</v>
      </c>
      <c r="B6530" t="str">
        <f>"CR3300"</f>
        <v>CR3300</v>
      </c>
      <c r="C6530" t="s">
        <v>6393</v>
      </c>
    </row>
    <row r="6531" spans="1:3" x14ac:dyDescent="0.25">
      <c r="A6531" t="str">
        <f>"0611862631050"</f>
        <v>0611862631050</v>
      </c>
      <c r="B6531" t="str">
        <f>"CR2417"</f>
        <v>CR2417</v>
      </c>
      <c r="C6531" t="s">
        <v>6394</v>
      </c>
    </row>
    <row r="6532" spans="1:3" x14ac:dyDescent="0.25">
      <c r="A6532" t="str">
        <f>"0611835675100"</f>
        <v>0611835675100</v>
      </c>
      <c r="B6532" t="str">
        <f>"LQ3464"</f>
        <v>LQ3464</v>
      </c>
      <c r="C6532" t="s">
        <v>6395</v>
      </c>
    </row>
    <row r="6533" spans="1:3" x14ac:dyDescent="0.25">
      <c r="A6533" t="str">
        <f>"0611835676100"</f>
        <v>0611835676100</v>
      </c>
      <c r="B6533" t="str">
        <f>"LQ3357"</f>
        <v>LQ3357</v>
      </c>
      <c r="C6533" t="s">
        <v>6396</v>
      </c>
    </row>
    <row r="6534" spans="1:3" x14ac:dyDescent="0.25">
      <c r="A6534" t="str">
        <f>"0611862633050"</f>
        <v>0611862633050</v>
      </c>
      <c r="B6534" t="str">
        <f>"CR2419"</f>
        <v>CR2419</v>
      </c>
      <c r="C6534" t="s">
        <v>6397</v>
      </c>
    </row>
    <row r="6535" spans="1:3" x14ac:dyDescent="0.25">
      <c r="A6535" t="str">
        <f>"0611862634050"</f>
        <v>0611862634050</v>
      </c>
      <c r="B6535" t="str">
        <f>"CR2420"</f>
        <v>CR2420</v>
      </c>
      <c r="C6535" t="s">
        <v>6398</v>
      </c>
    </row>
    <row r="6536" spans="1:3" x14ac:dyDescent="0.25">
      <c r="A6536" t="str">
        <f>"0611862635050"</f>
        <v>0611862635050</v>
      </c>
      <c r="B6536" t="str">
        <f>"CR2421"</f>
        <v>CR2421</v>
      </c>
      <c r="C6536" t="s">
        <v>6399</v>
      </c>
    </row>
    <row r="6537" spans="1:3" x14ac:dyDescent="0.25">
      <c r="A6537" t="str">
        <f>"0611862636050"</f>
        <v>0611862636050</v>
      </c>
      <c r="B6537" t="str">
        <f>"CR3268"</f>
        <v>CR3268</v>
      </c>
      <c r="C6537" t="s">
        <v>6400</v>
      </c>
    </row>
    <row r="6538" spans="1:3" x14ac:dyDescent="0.25">
      <c r="A6538" t="str">
        <f>"0611862637050"</f>
        <v>0611862637050</v>
      </c>
      <c r="B6538" t="str">
        <f>"CR3212"</f>
        <v>CR3212</v>
      </c>
      <c r="C6538" t="s">
        <v>6401</v>
      </c>
    </row>
    <row r="6539" spans="1:3" x14ac:dyDescent="0.25">
      <c r="A6539" t="str">
        <f>"0611835680100"</f>
        <v>0611835680100</v>
      </c>
      <c r="B6539" t="str">
        <f>"LQ3465"</f>
        <v>LQ3465</v>
      </c>
      <c r="C6539" t="s">
        <v>6402</v>
      </c>
    </row>
    <row r="6540" spans="1:3" x14ac:dyDescent="0.25">
      <c r="A6540" t="str">
        <f>"0611862639050"</f>
        <v>0611862639050</v>
      </c>
      <c r="B6540" t="str">
        <f>"CR3365"</f>
        <v>CR3365</v>
      </c>
      <c r="C6540" t="s">
        <v>6405</v>
      </c>
    </row>
    <row r="6541" spans="1:3" x14ac:dyDescent="0.25">
      <c r="A6541" t="str">
        <f>"0611862641050"</f>
        <v>0611862641050</v>
      </c>
      <c r="B6541" t="str">
        <f>"CR2423"</f>
        <v>CR2423</v>
      </c>
      <c r="C6541" t="s">
        <v>6406</v>
      </c>
    </row>
    <row r="6542" spans="1:3" x14ac:dyDescent="0.25">
      <c r="A6542" t="str">
        <f>"0611862642050"</f>
        <v>0611862642050</v>
      </c>
      <c r="B6542" t="str">
        <f>"CR2715"</f>
        <v>CR2715</v>
      </c>
      <c r="C6542" t="s">
        <v>6407</v>
      </c>
    </row>
    <row r="6543" spans="1:3" x14ac:dyDescent="0.25">
      <c r="A6543" t="str">
        <f>"0611862643050"</f>
        <v>0611862643050</v>
      </c>
      <c r="B6543" t="str">
        <f>"CR3211"</f>
        <v>CR3211</v>
      </c>
      <c r="C6543" t="s">
        <v>6408</v>
      </c>
    </row>
    <row r="6544" spans="1:3" x14ac:dyDescent="0.25">
      <c r="A6544" t="str">
        <f>"0611862644050"</f>
        <v>0611862644050</v>
      </c>
      <c r="B6544" t="str">
        <f>"CR2424"</f>
        <v>CR2424</v>
      </c>
      <c r="C6544" t="s">
        <v>6409</v>
      </c>
    </row>
    <row r="6545" spans="1:3" x14ac:dyDescent="0.25">
      <c r="A6545" t="str">
        <f>"0611862645050"</f>
        <v>0611862645050</v>
      </c>
      <c r="B6545" t="str">
        <f>"CR2871"</f>
        <v>CR2871</v>
      </c>
      <c r="C6545" t="s">
        <v>6411</v>
      </c>
    </row>
    <row r="6546" spans="1:3" x14ac:dyDescent="0.25">
      <c r="A6546" t="str">
        <f>"0611862646050"</f>
        <v>0611862646050</v>
      </c>
      <c r="B6546" t="str">
        <f>"CR3195"</f>
        <v>CR3195</v>
      </c>
      <c r="C6546" t="s">
        <v>6412</v>
      </c>
    </row>
    <row r="6547" spans="1:3" x14ac:dyDescent="0.25">
      <c r="A6547" t="str">
        <f>"0611862647050"</f>
        <v>0611862647050</v>
      </c>
      <c r="B6547" t="str">
        <f>"CR2873"</f>
        <v>CR2873</v>
      </c>
      <c r="C6547" t="s">
        <v>6413</v>
      </c>
    </row>
    <row r="6548" spans="1:3" x14ac:dyDescent="0.25">
      <c r="A6548" t="str">
        <f>"0611862648050"</f>
        <v>0611862648050</v>
      </c>
      <c r="B6548" t="str">
        <f>"CR3328"</f>
        <v>CR3328</v>
      </c>
      <c r="C6548" t="s">
        <v>6414</v>
      </c>
    </row>
    <row r="6549" spans="1:3" x14ac:dyDescent="0.25">
      <c r="A6549" t="str">
        <f>"0611862649050"</f>
        <v>0611862649050</v>
      </c>
      <c r="B6549" t="str">
        <f>"CR3539"</f>
        <v>CR3539</v>
      </c>
      <c r="C6549" t="s">
        <v>6415</v>
      </c>
    </row>
    <row r="6550" spans="1:3" x14ac:dyDescent="0.25">
      <c r="A6550" t="str">
        <f>"0611862650050"</f>
        <v>0611862650050</v>
      </c>
      <c r="B6550" t="str">
        <f>"CR3280"</f>
        <v>CR3280</v>
      </c>
      <c r="C6550" t="s">
        <v>13876</v>
      </c>
    </row>
    <row r="6551" spans="1:3" x14ac:dyDescent="0.25">
      <c r="A6551" t="str">
        <f>"0611862651050"</f>
        <v>0611862651050</v>
      </c>
      <c r="B6551" t="str">
        <f>"CR3337"</f>
        <v>CR3337</v>
      </c>
      <c r="C6551" t="s">
        <v>6416</v>
      </c>
    </row>
    <row r="6552" spans="1:3" x14ac:dyDescent="0.25">
      <c r="A6552" t="str">
        <f>"0611835673100"</f>
        <v>0611835673100</v>
      </c>
      <c r="B6552" t="str">
        <f>"LQ3356"</f>
        <v>LQ3356</v>
      </c>
      <c r="C6552" t="s">
        <v>6392</v>
      </c>
    </row>
    <row r="6553" spans="1:3" x14ac:dyDescent="0.25">
      <c r="A6553" t="str">
        <f>"0611835679100"</f>
        <v>0611835679100</v>
      </c>
      <c r="B6553" t="str">
        <f>"LQ3359"</f>
        <v>LQ3359</v>
      </c>
      <c r="C6553" t="s">
        <v>6403</v>
      </c>
    </row>
    <row r="6554" spans="1:3" x14ac:dyDescent="0.25">
      <c r="A6554" t="str">
        <f>"0611835681100"</f>
        <v>0611835681100</v>
      </c>
      <c r="B6554" t="str">
        <f>"LQ3360"</f>
        <v>LQ3360</v>
      </c>
      <c r="C6554" t="s">
        <v>6404</v>
      </c>
    </row>
    <row r="6555" spans="1:3" x14ac:dyDescent="0.25">
      <c r="A6555" t="str">
        <f>"0611835683100"</f>
        <v>0611835683100</v>
      </c>
      <c r="B6555" t="str">
        <f>"LQ3361"</f>
        <v>LQ3361</v>
      </c>
      <c r="C6555" t="s">
        <v>6410</v>
      </c>
    </row>
    <row r="6556" spans="1:3" x14ac:dyDescent="0.25">
      <c r="A6556" t="str">
        <f>"0611835685100"</f>
        <v>0611835685100</v>
      </c>
      <c r="B6556" t="str">
        <f>"LQ3363"</f>
        <v>LQ3363</v>
      </c>
      <c r="C6556" t="s">
        <v>6418</v>
      </c>
    </row>
    <row r="6557" spans="1:3" x14ac:dyDescent="0.25">
      <c r="A6557" t="str">
        <f>"0611835688100"</f>
        <v>0611835688100</v>
      </c>
      <c r="B6557" t="str">
        <f>"LQ3364"</f>
        <v>LQ3364</v>
      </c>
      <c r="C6557" t="s">
        <v>6419</v>
      </c>
    </row>
    <row r="6558" spans="1:3" x14ac:dyDescent="0.25">
      <c r="A6558" t="str">
        <f>"0611835686100"</f>
        <v>0611835686100</v>
      </c>
      <c r="B6558" t="str">
        <f>"LQ5619"</f>
        <v>LQ5619</v>
      </c>
      <c r="C6558" t="s">
        <v>6417</v>
      </c>
    </row>
    <row r="6559" spans="1:3" x14ac:dyDescent="0.25">
      <c r="A6559" t="str">
        <f>"0611835689100"</f>
        <v>0611835689100</v>
      </c>
      <c r="B6559" t="str">
        <f>"LB3887"</f>
        <v>LB3887</v>
      </c>
      <c r="C6559" t="s">
        <v>6420</v>
      </c>
    </row>
    <row r="6560" spans="1:3" x14ac:dyDescent="0.25">
      <c r="A6560" t="str">
        <f>"0611862653050"</f>
        <v>0611862653050</v>
      </c>
      <c r="B6560" t="str">
        <f>"CR3094"</f>
        <v>CR3094</v>
      </c>
      <c r="C6560" t="s">
        <v>6421</v>
      </c>
    </row>
    <row r="6561" spans="1:3" x14ac:dyDescent="0.25">
      <c r="A6561" t="str">
        <f>"0611862655050"</f>
        <v>0611862655050</v>
      </c>
      <c r="B6561" t="str">
        <f>"CR3096"</f>
        <v>CR3096</v>
      </c>
      <c r="C6561" t="s">
        <v>6422</v>
      </c>
    </row>
    <row r="6562" spans="1:3" x14ac:dyDescent="0.25">
      <c r="A6562" t="str">
        <f>"0611862657050"</f>
        <v>0611862657050</v>
      </c>
      <c r="B6562" t="str">
        <f>"CR3543"</f>
        <v>CR3543</v>
      </c>
      <c r="C6562" t="s">
        <v>6424</v>
      </c>
    </row>
    <row r="6563" spans="1:3" x14ac:dyDescent="0.25">
      <c r="A6563" t="str">
        <f>"0611862656050"</f>
        <v>0611862656050</v>
      </c>
      <c r="B6563" t="str">
        <f>"CR3097"</f>
        <v>CR3097</v>
      </c>
      <c r="C6563" t="s">
        <v>6423</v>
      </c>
    </row>
    <row r="6564" spans="1:3" x14ac:dyDescent="0.25">
      <c r="A6564" t="str">
        <f>"0611862658050"</f>
        <v>0611862658050</v>
      </c>
      <c r="B6564" t="str">
        <f>"CR3098"</f>
        <v>CR3098</v>
      </c>
      <c r="C6564" t="s">
        <v>6425</v>
      </c>
    </row>
    <row r="6565" spans="1:3" x14ac:dyDescent="0.25">
      <c r="A6565" t="str">
        <f>"0611862660050"</f>
        <v>0611862660050</v>
      </c>
      <c r="B6565" t="str">
        <f>"CR3099"</f>
        <v>CR3099</v>
      </c>
      <c r="C6565" t="s">
        <v>6426</v>
      </c>
    </row>
    <row r="6566" spans="1:3" x14ac:dyDescent="0.25">
      <c r="A6566" t="str">
        <f>"0611884260050"</f>
        <v>0611884260050</v>
      </c>
      <c r="B6566" t="str">
        <f>"CR5423"</f>
        <v>CR5423</v>
      </c>
      <c r="C6566" t="s">
        <v>6427</v>
      </c>
    </row>
    <row r="6567" spans="1:3" x14ac:dyDescent="0.25">
      <c r="A6567" t="str">
        <f>"0611862661050"</f>
        <v>0611862661050</v>
      </c>
      <c r="B6567" t="str">
        <f>"CR3892"</f>
        <v>CR3892</v>
      </c>
      <c r="C6567" t="s">
        <v>6428</v>
      </c>
    </row>
    <row r="6568" spans="1:3" x14ac:dyDescent="0.25">
      <c r="A6568" t="str">
        <f>"0611862662050"</f>
        <v>0611862662050</v>
      </c>
      <c r="B6568" t="str">
        <f>"CR5202"</f>
        <v>CR5202</v>
      </c>
      <c r="C6568" t="s">
        <v>6429</v>
      </c>
    </row>
    <row r="6569" spans="1:3" x14ac:dyDescent="0.25">
      <c r="A6569" t="str">
        <f>"0611862664050"</f>
        <v>0611862664050</v>
      </c>
      <c r="B6569" t="str">
        <f>"CR3101"</f>
        <v>CR3101</v>
      </c>
      <c r="C6569" t="s">
        <v>6430</v>
      </c>
    </row>
    <row r="6570" spans="1:3" x14ac:dyDescent="0.25">
      <c r="A6570" t="str">
        <f>"0611862665050"</f>
        <v>0611862665050</v>
      </c>
      <c r="B6570" t="str">
        <f>"CR2429"</f>
        <v>CR2429</v>
      </c>
      <c r="C6570" t="s">
        <v>6431</v>
      </c>
    </row>
    <row r="6571" spans="1:3" x14ac:dyDescent="0.25">
      <c r="A6571" t="str">
        <f>"0611862666050"</f>
        <v>0611862666050</v>
      </c>
      <c r="B6571" t="str">
        <f>"CR4974"</f>
        <v>CR4974</v>
      </c>
      <c r="C6571" t="s">
        <v>6432</v>
      </c>
    </row>
    <row r="6572" spans="1:3" x14ac:dyDescent="0.25">
      <c r="A6572" t="str">
        <f>"0611862667050"</f>
        <v>0611862667050</v>
      </c>
      <c r="B6572" t="str">
        <f>"CR5203"</f>
        <v>CR5203</v>
      </c>
      <c r="C6572" t="s">
        <v>6433</v>
      </c>
    </row>
    <row r="6573" spans="1:3" x14ac:dyDescent="0.25">
      <c r="A6573" t="str">
        <f>"0611862669050"</f>
        <v>0611862669050</v>
      </c>
      <c r="B6573" t="str">
        <f>"CR3102"</f>
        <v>CR3102</v>
      </c>
      <c r="C6573" t="s">
        <v>6434</v>
      </c>
    </row>
    <row r="6574" spans="1:3" x14ac:dyDescent="0.25">
      <c r="A6574" t="str">
        <f>"0611884261050"</f>
        <v>0611884261050</v>
      </c>
      <c r="B6574" t="str">
        <f>"CR5289"</f>
        <v>CR5289</v>
      </c>
      <c r="C6574" t="s">
        <v>6438</v>
      </c>
    </row>
    <row r="6575" spans="1:3" x14ac:dyDescent="0.25">
      <c r="A6575" t="str">
        <f>"0611862670050"</f>
        <v>0611862670050</v>
      </c>
      <c r="B6575" t="str">
        <f>"CR3103"</f>
        <v>CR3103</v>
      </c>
      <c r="C6575" t="s">
        <v>6435</v>
      </c>
    </row>
    <row r="6576" spans="1:3" x14ac:dyDescent="0.25">
      <c r="A6576" t="str">
        <f>"0611862672050"</f>
        <v>0611862672050</v>
      </c>
      <c r="B6576" t="str">
        <f>"CR3898"</f>
        <v>CR3898</v>
      </c>
      <c r="C6576" t="s">
        <v>6436</v>
      </c>
    </row>
    <row r="6577" spans="1:3" x14ac:dyDescent="0.25">
      <c r="A6577" t="str">
        <f>"0611862673050"</f>
        <v>0611862673050</v>
      </c>
      <c r="B6577" t="str">
        <f>"CR3105"</f>
        <v>CR3105</v>
      </c>
      <c r="C6577" t="s">
        <v>13877</v>
      </c>
    </row>
    <row r="6578" spans="1:3" x14ac:dyDescent="0.25">
      <c r="A6578" t="str">
        <f>"0611862674050"</f>
        <v>0611862674050</v>
      </c>
      <c r="B6578" t="str">
        <f>"CR5204"</f>
        <v>CR5204</v>
      </c>
      <c r="C6578" t="s">
        <v>6437</v>
      </c>
    </row>
    <row r="6579" spans="1:3" x14ac:dyDescent="0.25">
      <c r="A6579" t="str">
        <f>"0611862677050"</f>
        <v>0611862677050</v>
      </c>
      <c r="B6579" t="str">
        <f>"CR2432"</f>
        <v>CR2432</v>
      </c>
      <c r="C6579" t="s">
        <v>6441</v>
      </c>
    </row>
    <row r="6580" spans="1:3" x14ac:dyDescent="0.25">
      <c r="A6580" t="str">
        <f>"0611862676050"</f>
        <v>0611862676050</v>
      </c>
      <c r="B6580" t="str">
        <f>"CR4836"</f>
        <v>CR4836</v>
      </c>
      <c r="C6580" t="s">
        <v>6440</v>
      </c>
    </row>
    <row r="6581" spans="1:3" x14ac:dyDescent="0.25">
      <c r="A6581" t="str">
        <f>"0611862675050"</f>
        <v>0611862675050</v>
      </c>
      <c r="B6581" t="str">
        <f>"CR3108"</f>
        <v>CR3108</v>
      </c>
      <c r="C6581" t="s">
        <v>6439</v>
      </c>
    </row>
    <row r="6582" spans="1:3" x14ac:dyDescent="0.25">
      <c r="A6582" t="str">
        <f>"0611862678050"</f>
        <v>0611862678050</v>
      </c>
      <c r="B6582" t="str">
        <f>"CR3109"</f>
        <v>CR3109</v>
      </c>
      <c r="C6582" t="s">
        <v>6442</v>
      </c>
    </row>
    <row r="6583" spans="1:3" x14ac:dyDescent="0.25">
      <c r="A6583" t="str">
        <f>"0611862679050"</f>
        <v>0611862679050</v>
      </c>
      <c r="B6583" t="str">
        <f>"CR2967"</f>
        <v>CR2967</v>
      </c>
      <c r="C6583" t="s">
        <v>6443</v>
      </c>
    </row>
    <row r="6584" spans="1:3" x14ac:dyDescent="0.25">
      <c r="A6584" t="str">
        <f>"0611862680050"</f>
        <v>0611862680050</v>
      </c>
      <c r="B6584" t="str">
        <f>"CR3110"</f>
        <v>CR3110</v>
      </c>
      <c r="C6584" t="s">
        <v>6444</v>
      </c>
    </row>
    <row r="6585" spans="1:3" x14ac:dyDescent="0.25">
      <c r="A6585" t="str">
        <f>"0611862682050"</f>
        <v>0611862682050</v>
      </c>
      <c r="B6585" t="str">
        <f>"CR3112"</f>
        <v>CR3112</v>
      </c>
      <c r="C6585" t="s">
        <v>6445</v>
      </c>
    </row>
    <row r="6586" spans="1:3" x14ac:dyDescent="0.25">
      <c r="A6586" t="str">
        <f>"0611862683050"</f>
        <v>0611862683050</v>
      </c>
      <c r="B6586" t="str">
        <f>"CR3107"</f>
        <v>CR3107</v>
      </c>
      <c r="C6586" t="s">
        <v>13878</v>
      </c>
    </row>
    <row r="6587" spans="1:3" x14ac:dyDescent="0.25">
      <c r="A6587" t="str">
        <f>"0611862684050"</f>
        <v>0611862684050</v>
      </c>
      <c r="B6587" t="str">
        <f>"CR3964"</f>
        <v>CR3964</v>
      </c>
      <c r="C6587" t="s">
        <v>6446</v>
      </c>
    </row>
    <row r="6588" spans="1:3" x14ac:dyDescent="0.25">
      <c r="A6588" t="str">
        <f>"0611884262050"</f>
        <v>0611884262050</v>
      </c>
      <c r="B6588" t="str">
        <f>"CR5413"</f>
        <v>CR5413</v>
      </c>
      <c r="C6588" t="s">
        <v>6447</v>
      </c>
    </row>
    <row r="6589" spans="1:3" x14ac:dyDescent="0.25">
      <c r="A6589" t="str">
        <f>"0611862685050"</f>
        <v>0611862685050</v>
      </c>
      <c r="B6589" t="str">
        <f>"CR3113"</f>
        <v>CR3113</v>
      </c>
      <c r="C6589" t="s">
        <v>6448</v>
      </c>
    </row>
    <row r="6590" spans="1:3" x14ac:dyDescent="0.25">
      <c r="A6590" t="str">
        <f>"0611893608050"</f>
        <v>0611893608050</v>
      </c>
      <c r="B6590" t="str">
        <f>"CR5446"</f>
        <v>CR5446</v>
      </c>
      <c r="C6590" t="s">
        <v>6449</v>
      </c>
    </row>
    <row r="6591" spans="1:3" x14ac:dyDescent="0.25">
      <c r="A6591" t="str">
        <f>"0611835690100"</f>
        <v>0611835690100</v>
      </c>
      <c r="B6591" t="str">
        <f>"LS0060"</f>
        <v>LS0060</v>
      </c>
      <c r="C6591" t="s">
        <v>6451</v>
      </c>
    </row>
    <row r="6592" spans="1:3" x14ac:dyDescent="0.25">
      <c r="A6592" t="str">
        <f>"0611862686050"</f>
        <v>0611862686050</v>
      </c>
      <c r="B6592" t="str">
        <f>"CR2426"</f>
        <v>CR2426</v>
      </c>
      <c r="C6592" t="s">
        <v>6452</v>
      </c>
    </row>
    <row r="6593" spans="1:3" x14ac:dyDescent="0.25">
      <c r="A6593" t="str">
        <f>"0611862687050"</f>
        <v>0611862687050</v>
      </c>
      <c r="B6593" t="str">
        <f>"CR3363"</f>
        <v>CR3363</v>
      </c>
      <c r="C6593" t="s">
        <v>6453</v>
      </c>
    </row>
    <row r="6594" spans="1:3" x14ac:dyDescent="0.25">
      <c r="A6594" t="str">
        <f>"0611862688050"</f>
        <v>0611862688050</v>
      </c>
      <c r="B6594" t="str">
        <f>"CR2718"</f>
        <v>CR2718</v>
      </c>
      <c r="C6594" t="s">
        <v>6454</v>
      </c>
    </row>
    <row r="6595" spans="1:3" x14ac:dyDescent="0.25">
      <c r="A6595" t="str">
        <f>"0611862689050"</f>
        <v>0611862689050</v>
      </c>
      <c r="B6595" t="str">
        <f>"CR2427"</f>
        <v>CR2427</v>
      </c>
      <c r="C6595" t="s">
        <v>6455</v>
      </c>
    </row>
    <row r="6596" spans="1:3" x14ac:dyDescent="0.25">
      <c r="A6596" t="str">
        <f>"0611835691100"</f>
        <v>0611835691100</v>
      </c>
      <c r="B6596" t="str">
        <f>"LS0061"</f>
        <v>LS0061</v>
      </c>
      <c r="C6596" t="s">
        <v>6456</v>
      </c>
    </row>
    <row r="6597" spans="1:3" x14ac:dyDescent="0.25">
      <c r="A6597" t="str">
        <f>"0611835692100"</f>
        <v>0611835692100</v>
      </c>
      <c r="B6597" t="str">
        <f>"LS0063"</f>
        <v>LS0063</v>
      </c>
      <c r="C6597" t="s">
        <v>6459</v>
      </c>
    </row>
    <row r="6598" spans="1:3" x14ac:dyDescent="0.25">
      <c r="A6598" t="str">
        <f>"0611835693100"</f>
        <v>0611835693100</v>
      </c>
      <c r="B6598" t="str">
        <f>"LS0062"</f>
        <v>LS0062</v>
      </c>
      <c r="C6598" t="s">
        <v>6458</v>
      </c>
    </row>
    <row r="6599" spans="1:3" x14ac:dyDescent="0.25">
      <c r="A6599" t="str">
        <f>"0611862690050"</f>
        <v>0611862690050</v>
      </c>
      <c r="B6599" t="str">
        <f>"CR4838"</f>
        <v>CR4838</v>
      </c>
      <c r="C6599" t="s">
        <v>13879</v>
      </c>
    </row>
    <row r="6600" spans="1:3" x14ac:dyDescent="0.25">
      <c r="A6600" t="str">
        <f>"0611884263050"</f>
        <v>0611884263050</v>
      </c>
      <c r="B6600" t="str">
        <f>"CR5382"</f>
        <v>CR5382</v>
      </c>
      <c r="C6600" t="s">
        <v>6460</v>
      </c>
    </row>
    <row r="6601" spans="1:3" x14ac:dyDescent="0.25">
      <c r="A6601" t="str">
        <f>"0611906575050"</f>
        <v>0611906575050</v>
      </c>
      <c r="B6601" t="str">
        <f>"CR5495"</f>
        <v>CR5495</v>
      </c>
      <c r="C6601" t="s">
        <v>6461</v>
      </c>
    </row>
    <row r="6602" spans="1:3" x14ac:dyDescent="0.25">
      <c r="A6602" t="str">
        <f>"0611862691050"</f>
        <v>0611862691050</v>
      </c>
      <c r="B6602" t="str">
        <f>"CR3894"</f>
        <v>CR3894</v>
      </c>
      <c r="C6602" t="s">
        <v>13880</v>
      </c>
    </row>
    <row r="6603" spans="1:3" x14ac:dyDescent="0.25">
      <c r="A6603" t="str">
        <f>"0611884264050"</f>
        <v>0611884264050</v>
      </c>
      <c r="B6603" t="str">
        <f>"CR5414"</f>
        <v>CR5414</v>
      </c>
      <c r="C6603" t="s">
        <v>6462</v>
      </c>
    </row>
    <row r="6604" spans="1:3" x14ac:dyDescent="0.25">
      <c r="A6604" t="str">
        <f>"0611862692050"</f>
        <v>0611862692050</v>
      </c>
      <c r="B6604" t="str">
        <f>"CR5205"</f>
        <v>CR5205</v>
      </c>
      <c r="C6604" t="s">
        <v>13881</v>
      </c>
    </row>
    <row r="6605" spans="1:3" x14ac:dyDescent="0.25">
      <c r="A6605" t="str">
        <f>"0611862693050"</f>
        <v>0611862693050</v>
      </c>
      <c r="B6605" t="str">
        <f>"CR4839"</f>
        <v>CR4839</v>
      </c>
      <c r="C6605" t="s">
        <v>13882</v>
      </c>
    </row>
    <row r="6606" spans="1:3" x14ac:dyDescent="0.25">
      <c r="A6606" t="str">
        <f>"0611862694050"</f>
        <v>0611862694050</v>
      </c>
      <c r="B6606" t="str">
        <f>"CR4840"</f>
        <v>CR4840</v>
      </c>
      <c r="C6606" t="s">
        <v>13883</v>
      </c>
    </row>
    <row r="6607" spans="1:3" x14ac:dyDescent="0.25">
      <c r="A6607" t="str">
        <f>"0611862695050"</f>
        <v>0611862695050</v>
      </c>
      <c r="B6607" t="str">
        <f>"CR4837"</f>
        <v>CR4837</v>
      </c>
      <c r="C6607" t="s">
        <v>13884</v>
      </c>
    </row>
    <row r="6608" spans="1:3" x14ac:dyDescent="0.25">
      <c r="A6608" t="str">
        <f>"0611862696050"</f>
        <v>0611862696050</v>
      </c>
      <c r="B6608" t="str">
        <f>"CR4841"</f>
        <v>CR4841</v>
      </c>
      <c r="C6608" t="s">
        <v>13885</v>
      </c>
    </row>
    <row r="6609" spans="1:3" x14ac:dyDescent="0.25">
      <c r="A6609" t="str">
        <f>"0611835694100"</f>
        <v>0611835694100</v>
      </c>
      <c r="B6609" t="str">
        <f>"LS0064"</f>
        <v>LS0064</v>
      </c>
      <c r="C6609" t="s">
        <v>6463</v>
      </c>
    </row>
    <row r="6610" spans="1:3" x14ac:dyDescent="0.25">
      <c r="A6610" t="str">
        <f>"0611835697100"</f>
        <v>0611835697100</v>
      </c>
      <c r="B6610" t="str">
        <f>"LS0066"</f>
        <v>LS0066</v>
      </c>
      <c r="C6610" t="s">
        <v>6474</v>
      </c>
    </row>
    <row r="6611" spans="1:3" x14ac:dyDescent="0.25">
      <c r="A6611" t="str">
        <f>"0611862697050"</f>
        <v>0611862697050</v>
      </c>
      <c r="B6611" t="str">
        <f>"CE0431"</f>
        <v>CE0431</v>
      </c>
      <c r="C6611" t="s">
        <v>6464</v>
      </c>
    </row>
    <row r="6612" spans="1:3" x14ac:dyDescent="0.25">
      <c r="A6612" t="str">
        <f>"0611862698050"</f>
        <v>0611862698050</v>
      </c>
      <c r="B6612" t="str">
        <f>"CE0432"</f>
        <v>CE0432</v>
      </c>
      <c r="C6612" t="s">
        <v>6465</v>
      </c>
    </row>
    <row r="6613" spans="1:3" x14ac:dyDescent="0.25">
      <c r="A6613" t="str">
        <f>"0611862699050"</f>
        <v>0611862699050</v>
      </c>
      <c r="B6613" t="str">
        <f>"CE0435"</f>
        <v>CE0435</v>
      </c>
      <c r="C6613" t="s">
        <v>6466</v>
      </c>
    </row>
    <row r="6614" spans="1:3" x14ac:dyDescent="0.25">
      <c r="A6614" t="str">
        <f>"0611862700050"</f>
        <v>0611862700050</v>
      </c>
      <c r="B6614" t="str">
        <f>"CE0436"</f>
        <v>CE0436</v>
      </c>
      <c r="C6614" t="s">
        <v>6467</v>
      </c>
    </row>
    <row r="6615" spans="1:3" x14ac:dyDescent="0.25">
      <c r="A6615" t="str">
        <f>"0611862701050"</f>
        <v>0611862701050</v>
      </c>
      <c r="B6615" t="str">
        <f>"CE0437"</f>
        <v>CE0437</v>
      </c>
      <c r="C6615" t="s">
        <v>6468</v>
      </c>
    </row>
    <row r="6616" spans="1:3" x14ac:dyDescent="0.25">
      <c r="A6616" t="str">
        <f>"0611862702050"</f>
        <v>0611862702050</v>
      </c>
      <c r="B6616" t="str">
        <f>"CE0438"</f>
        <v>CE0438</v>
      </c>
      <c r="C6616" t="s">
        <v>6469</v>
      </c>
    </row>
    <row r="6617" spans="1:3" x14ac:dyDescent="0.25">
      <c r="A6617" t="str">
        <f>"0611862703050"</f>
        <v>0611862703050</v>
      </c>
      <c r="B6617" t="str">
        <f>"CE0439"</f>
        <v>CE0439</v>
      </c>
      <c r="C6617" t="s">
        <v>6470</v>
      </c>
    </row>
    <row r="6618" spans="1:3" x14ac:dyDescent="0.25">
      <c r="A6618" t="str">
        <f>"0611862704050"</f>
        <v>0611862704050</v>
      </c>
      <c r="B6618" t="str">
        <f>"CE0440"</f>
        <v>CE0440</v>
      </c>
      <c r="C6618" t="s">
        <v>6471</v>
      </c>
    </row>
    <row r="6619" spans="1:3" x14ac:dyDescent="0.25">
      <c r="A6619" t="str">
        <f>"0611862705050"</f>
        <v>0611862705050</v>
      </c>
      <c r="B6619" t="str">
        <f>"CE0441"</f>
        <v>CE0441</v>
      </c>
      <c r="C6619" t="s">
        <v>6472</v>
      </c>
    </row>
    <row r="6620" spans="1:3" x14ac:dyDescent="0.25">
      <c r="A6620" t="str">
        <f>"0611835716100"</f>
        <v>0611835716100</v>
      </c>
      <c r="B6620" t="str">
        <f>"LQ6237"</f>
        <v>LQ6237</v>
      </c>
      <c r="C6620" t="s">
        <v>6500</v>
      </c>
    </row>
    <row r="6621" spans="1:3" x14ac:dyDescent="0.25">
      <c r="A6621" t="str">
        <f>"0611835717100"</f>
        <v>0611835717100</v>
      </c>
      <c r="B6621" t="str">
        <f>"LQ6195"</f>
        <v>LQ6195</v>
      </c>
      <c r="C6621" t="s">
        <v>6501</v>
      </c>
    </row>
    <row r="6622" spans="1:3" x14ac:dyDescent="0.25">
      <c r="A6622" t="str">
        <f>"0611835718100"</f>
        <v>0611835718100</v>
      </c>
      <c r="B6622" t="str">
        <f>"LQ6196"</f>
        <v>LQ6196</v>
      </c>
      <c r="C6622" t="s">
        <v>6502</v>
      </c>
    </row>
    <row r="6623" spans="1:3" x14ac:dyDescent="0.25">
      <c r="A6623" t="str">
        <f>"0611856996100"</f>
        <v>0611856996100</v>
      </c>
      <c r="B6623" t="str">
        <f>"LQ6267"</f>
        <v>LQ6267</v>
      </c>
      <c r="C6623" t="s">
        <v>6503</v>
      </c>
    </row>
    <row r="6624" spans="1:3" x14ac:dyDescent="0.25">
      <c r="A6624" t="str">
        <f>"0611835719100"</f>
        <v>0611835719100</v>
      </c>
      <c r="B6624" t="str">
        <f>"LQ6238"</f>
        <v>LQ6238</v>
      </c>
      <c r="C6624" t="s">
        <v>6504</v>
      </c>
    </row>
    <row r="6625" spans="1:3" x14ac:dyDescent="0.25">
      <c r="A6625" t="str">
        <f>"0611906811100"</f>
        <v>0611906811100</v>
      </c>
      <c r="B6625" t="str">
        <f>"LQ6311"</f>
        <v>LQ6311</v>
      </c>
      <c r="C6625" t="s">
        <v>6505</v>
      </c>
    </row>
    <row r="6626" spans="1:3" x14ac:dyDescent="0.25">
      <c r="A6626" t="str">
        <f>"0611835720100"</f>
        <v>0611835720100</v>
      </c>
      <c r="B6626" t="str">
        <f>"LQ6197"</f>
        <v>LQ6197</v>
      </c>
      <c r="C6626" t="s">
        <v>6506</v>
      </c>
    </row>
    <row r="6627" spans="1:3" x14ac:dyDescent="0.25">
      <c r="A6627" t="str">
        <f>"0611906812100"</f>
        <v>0611906812100</v>
      </c>
      <c r="B6627" t="str">
        <f>"LQ6312"</f>
        <v>LQ6312</v>
      </c>
      <c r="C6627" t="s">
        <v>6507</v>
      </c>
    </row>
    <row r="6628" spans="1:3" x14ac:dyDescent="0.25">
      <c r="A6628" t="str">
        <f>"0611906813100"</f>
        <v>0611906813100</v>
      </c>
      <c r="B6628" t="str">
        <f>"LQ6313"</f>
        <v>LQ6313</v>
      </c>
      <c r="C6628" t="s">
        <v>6508</v>
      </c>
    </row>
    <row r="6629" spans="1:3" x14ac:dyDescent="0.25">
      <c r="A6629" t="str">
        <f>"0611906814100"</f>
        <v>0611906814100</v>
      </c>
      <c r="B6629" t="str">
        <f>"LQ6314"</f>
        <v>LQ6314</v>
      </c>
      <c r="C6629" t="s">
        <v>6509</v>
      </c>
    </row>
    <row r="6630" spans="1:3" x14ac:dyDescent="0.25">
      <c r="A6630" t="str">
        <f>"0611906815100"</f>
        <v>0611906815100</v>
      </c>
      <c r="B6630" t="str">
        <f>"LQ6315"</f>
        <v>LQ6315</v>
      </c>
      <c r="C6630" t="s">
        <v>6510</v>
      </c>
    </row>
    <row r="6631" spans="1:3" x14ac:dyDescent="0.25">
      <c r="A6631" t="str">
        <f>"0611906816100"</f>
        <v>0611906816100</v>
      </c>
      <c r="B6631" t="str">
        <f>"LQ6316"</f>
        <v>LQ6316</v>
      </c>
      <c r="C6631" t="s">
        <v>6511</v>
      </c>
    </row>
    <row r="6632" spans="1:3" x14ac:dyDescent="0.25">
      <c r="A6632" t="str">
        <f>"0611906817100"</f>
        <v>0611906817100</v>
      </c>
      <c r="B6632" t="str">
        <f>"LQ6317"</f>
        <v>LQ6317</v>
      </c>
      <c r="C6632" t="s">
        <v>6512</v>
      </c>
    </row>
    <row r="6633" spans="1:3" x14ac:dyDescent="0.25">
      <c r="A6633" t="str">
        <f>"0611856997100"</f>
        <v>0611856997100</v>
      </c>
      <c r="B6633" t="str">
        <f>"LQ6268"</f>
        <v>LQ6268</v>
      </c>
      <c r="C6633" t="s">
        <v>6513</v>
      </c>
    </row>
    <row r="6634" spans="1:3" x14ac:dyDescent="0.25">
      <c r="A6634" t="str">
        <f>"0611835721100"</f>
        <v>0611835721100</v>
      </c>
      <c r="B6634" t="str">
        <f>"LQ6198"</f>
        <v>LQ6198</v>
      </c>
      <c r="C6634" t="s">
        <v>6514</v>
      </c>
    </row>
    <row r="6635" spans="1:3" x14ac:dyDescent="0.25">
      <c r="A6635" t="str">
        <f>"0611856998100"</f>
        <v>0611856998100</v>
      </c>
      <c r="B6635" t="str">
        <f>"LQ6269"</f>
        <v>LQ6269</v>
      </c>
      <c r="C6635" t="s">
        <v>6515</v>
      </c>
    </row>
    <row r="6636" spans="1:3" x14ac:dyDescent="0.25">
      <c r="A6636" t="str">
        <f>"0611835722100"</f>
        <v>0611835722100</v>
      </c>
      <c r="B6636" t="str">
        <f>"LQ6239"</f>
        <v>LQ6239</v>
      </c>
      <c r="C6636" t="s">
        <v>6516</v>
      </c>
    </row>
    <row r="6637" spans="1:3" x14ac:dyDescent="0.25">
      <c r="A6637" t="str">
        <f>"0611856999100"</f>
        <v>0611856999100</v>
      </c>
      <c r="B6637" t="str">
        <f>"LK7053"</f>
        <v>LK7053</v>
      </c>
      <c r="C6637" t="s">
        <v>6517</v>
      </c>
    </row>
    <row r="6638" spans="1:3" x14ac:dyDescent="0.25">
      <c r="A6638" t="str">
        <f>"0611857000100"</f>
        <v>0611857000100</v>
      </c>
      <c r="B6638" t="str">
        <f>"LK7054"</f>
        <v>LK7054</v>
      </c>
      <c r="C6638" t="s">
        <v>6518</v>
      </c>
    </row>
    <row r="6639" spans="1:3" x14ac:dyDescent="0.25">
      <c r="A6639" t="str">
        <f>"0611857001100"</f>
        <v>0611857001100</v>
      </c>
      <c r="B6639" t="str">
        <f>"LK7055"</f>
        <v>LK7055</v>
      </c>
      <c r="C6639" t="s">
        <v>6519</v>
      </c>
    </row>
    <row r="6640" spans="1:3" x14ac:dyDescent="0.25">
      <c r="A6640" t="str">
        <f>"0611906818100"</f>
        <v>0611906818100</v>
      </c>
      <c r="B6640" t="str">
        <f>"LK7214"</f>
        <v>LK7214</v>
      </c>
      <c r="C6640" t="s">
        <v>6520</v>
      </c>
    </row>
    <row r="6641" spans="1:3" x14ac:dyDescent="0.25">
      <c r="A6641" t="str">
        <f>"0611857002100"</f>
        <v>0611857002100</v>
      </c>
      <c r="B6641" t="str">
        <f>"LK7056"</f>
        <v>LK7056</v>
      </c>
      <c r="C6641" t="s">
        <v>6521</v>
      </c>
    </row>
    <row r="6642" spans="1:3" x14ac:dyDescent="0.25">
      <c r="A6642" t="str">
        <f>"0611906819100"</f>
        <v>0611906819100</v>
      </c>
      <c r="B6642" t="str">
        <f>"LK7215"</f>
        <v>LK7215</v>
      </c>
      <c r="C6642" t="s">
        <v>6522</v>
      </c>
    </row>
    <row r="6643" spans="1:3" x14ac:dyDescent="0.25">
      <c r="A6643" t="str">
        <f>"0611906820100"</f>
        <v>0611906820100</v>
      </c>
      <c r="B6643" t="str">
        <f>"LK7216"</f>
        <v>LK7216</v>
      </c>
      <c r="C6643" t="s">
        <v>6523</v>
      </c>
    </row>
    <row r="6644" spans="1:3" x14ac:dyDescent="0.25">
      <c r="A6644" t="str">
        <f>"0611857003100"</f>
        <v>0611857003100</v>
      </c>
      <c r="B6644" t="str">
        <f>"LK7057"</f>
        <v>LK7057</v>
      </c>
      <c r="C6644" t="s">
        <v>6524</v>
      </c>
    </row>
    <row r="6645" spans="1:3" x14ac:dyDescent="0.25">
      <c r="A6645" t="str">
        <f>"0611862739050"</f>
        <v>0611862739050</v>
      </c>
      <c r="B6645" t="str">
        <f>"CE0583"</f>
        <v>CE0583</v>
      </c>
      <c r="C6645" t="s">
        <v>6525</v>
      </c>
    </row>
    <row r="6646" spans="1:3" x14ac:dyDescent="0.25">
      <c r="A6646" t="str">
        <f>"0611862740050"</f>
        <v>0611862740050</v>
      </c>
      <c r="B6646" t="str">
        <f>"CE0584"</f>
        <v>CE0584</v>
      </c>
      <c r="C6646" t="s">
        <v>6526</v>
      </c>
    </row>
    <row r="6647" spans="1:3" x14ac:dyDescent="0.25">
      <c r="A6647" t="str">
        <f>"0611862741050"</f>
        <v>0611862741050</v>
      </c>
      <c r="B6647" t="str">
        <f>"CE0585"</f>
        <v>CE0585</v>
      </c>
      <c r="C6647" t="s">
        <v>6527</v>
      </c>
    </row>
    <row r="6648" spans="1:3" x14ac:dyDescent="0.25">
      <c r="A6648" t="str">
        <f>"0611862742050"</f>
        <v>0611862742050</v>
      </c>
      <c r="B6648" t="str">
        <f>"CE0586"</f>
        <v>CE0586</v>
      </c>
      <c r="C6648" t="s">
        <v>6528</v>
      </c>
    </row>
    <row r="6649" spans="1:3" x14ac:dyDescent="0.25">
      <c r="A6649" t="str">
        <f>"0611862743050"</f>
        <v>0611862743050</v>
      </c>
      <c r="B6649" t="str">
        <f>"CE1441"</f>
        <v>CE1441</v>
      </c>
      <c r="C6649" t="s">
        <v>6529</v>
      </c>
    </row>
    <row r="6650" spans="1:3" x14ac:dyDescent="0.25">
      <c r="A6650" t="str">
        <f>"0611862744050"</f>
        <v>0611862744050</v>
      </c>
      <c r="B6650" t="str">
        <f>"CE0587"</f>
        <v>CE0587</v>
      </c>
      <c r="C6650" t="s">
        <v>6530</v>
      </c>
    </row>
    <row r="6651" spans="1:3" x14ac:dyDescent="0.25">
      <c r="A6651" t="str">
        <f>"0611862745050"</f>
        <v>0611862745050</v>
      </c>
      <c r="B6651" t="str">
        <f>"CE0588"</f>
        <v>CE0588</v>
      </c>
      <c r="C6651" t="s">
        <v>6531</v>
      </c>
    </row>
    <row r="6652" spans="1:3" x14ac:dyDescent="0.25">
      <c r="A6652" t="str">
        <f>"0611862746050"</f>
        <v>0611862746050</v>
      </c>
      <c r="B6652" t="str">
        <f>"CE0589"</f>
        <v>CE0589</v>
      </c>
      <c r="C6652" t="s">
        <v>6532</v>
      </c>
    </row>
    <row r="6653" spans="1:3" x14ac:dyDescent="0.25">
      <c r="A6653" t="str">
        <f>"0611862747050"</f>
        <v>0611862747050</v>
      </c>
      <c r="B6653" t="str">
        <f>"CE0590"</f>
        <v>CE0590</v>
      </c>
      <c r="C6653" t="s">
        <v>6533</v>
      </c>
    </row>
    <row r="6654" spans="1:3" x14ac:dyDescent="0.25">
      <c r="A6654" t="str">
        <f>"0611862748050"</f>
        <v>0611862748050</v>
      </c>
      <c r="B6654" t="str">
        <f>"CE0592"</f>
        <v>CE0592</v>
      </c>
      <c r="C6654" t="s">
        <v>6534</v>
      </c>
    </row>
    <row r="6655" spans="1:3" x14ac:dyDescent="0.25">
      <c r="A6655" t="str">
        <f>"0611862749050"</f>
        <v>0611862749050</v>
      </c>
      <c r="B6655" t="str">
        <f>"CE0593"</f>
        <v>CE0593</v>
      </c>
      <c r="C6655" t="s">
        <v>6535</v>
      </c>
    </row>
    <row r="6656" spans="1:3" x14ac:dyDescent="0.25">
      <c r="A6656" t="str">
        <f>"0611862750050"</f>
        <v>0611862750050</v>
      </c>
      <c r="B6656" t="str">
        <f>"CE0594"</f>
        <v>CE0594</v>
      </c>
      <c r="C6656" t="s">
        <v>6536</v>
      </c>
    </row>
    <row r="6657" spans="1:3" x14ac:dyDescent="0.25">
      <c r="A6657" t="str">
        <f>"0611862751050"</f>
        <v>0611862751050</v>
      </c>
      <c r="B6657" t="str">
        <f>"CE0595"</f>
        <v>CE0595</v>
      </c>
      <c r="C6657" t="s">
        <v>6537</v>
      </c>
    </row>
    <row r="6658" spans="1:3" x14ac:dyDescent="0.25">
      <c r="A6658" t="str">
        <f>"0611862752050"</f>
        <v>0611862752050</v>
      </c>
      <c r="B6658" t="str">
        <f>"CE0597"</f>
        <v>CE0597</v>
      </c>
      <c r="C6658" t="s">
        <v>6538</v>
      </c>
    </row>
    <row r="6659" spans="1:3" x14ac:dyDescent="0.25">
      <c r="A6659" t="str">
        <f>"0611862753050"</f>
        <v>0611862753050</v>
      </c>
      <c r="B6659" t="str">
        <f>"CE0598"</f>
        <v>CE0598</v>
      </c>
      <c r="C6659" t="s">
        <v>6539</v>
      </c>
    </row>
    <row r="6660" spans="1:3" x14ac:dyDescent="0.25">
      <c r="A6660" t="str">
        <f>"0611862754050"</f>
        <v>0611862754050</v>
      </c>
      <c r="B6660" t="str">
        <f>"CE0599"</f>
        <v>CE0599</v>
      </c>
      <c r="C6660" t="s">
        <v>6540</v>
      </c>
    </row>
    <row r="6661" spans="1:3" x14ac:dyDescent="0.25">
      <c r="A6661" t="str">
        <f>"0611862755050"</f>
        <v>0611862755050</v>
      </c>
      <c r="B6661" t="str">
        <f>"CE0934"</f>
        <v>CE0934</v>
      </c>
      <c r="C6661" t="s">
        <v>6541</v>
      </c>
    </row>
    <row r="6662" spans="1:3" x14ac:dyDescent="0.25">
      <c r="A6662" t="str">
        <f>"0611862756050"</f>
        <v>0611862756050</v>
      </c>
      <c r="B6662" t="str">
        <f>"CE0600"</f>
        <v>CE0600</v>
      </c>
      <c r="C6662" t="s">
        <v>6542</v>
      </c>
    </row>
    <row r="6663" spans="1:3" x14ac:dyDescent="0.25">
      <c r="A6663" t="str">
        <f>"0611862757050"</f>
        <v>0611862757050</v>
      </c>
      <c r="B6663" t="str">
        <f>"CE1597"</f>
        <v>CE1597</v>
      </c>
      <c r="C6663" t="s">
        <v>6543</v>
      </c>
    </row>
    <row r="6664" spans="1:3" x14ac:dyDescent="0.25">
      <c r="A6664" t="str">
        <f>"0611893609050"</f>
        <v>0611893609050</v>
      </c>
      <c r="B6664" t="str">
        <f>"CE1770"</f>
        <v>CE1770</v>
      </c>
      <c r="C6664" t="s">
        <v>6544</v>
      </c>
    </row>
    <row r="6665" spans="1:3" x14ac:dyDescent="0.25">
      <c r="A6665" t="str">
        <f>"0611862758050"</f>
        <v>0611862758050</v>
      </c>
      <c r="B6665" t="str">
        <f>"CE1598"</f>
        <v>CE1598</v>
      </c>
      <c r="C6665" t="s">
        <v>6545</v>
      </c>
    </row>
    <row r="6666" spans="1:3" x14ac:dyDescent="0.25">
      <c r="A6666" t="str">
        <f>"0611862759050"</f>
        <v>0611862759050</v>
      </c>
      <c r="B6666" t="str">
        <f>"CE1599"</f>
        <v>CE1599</v>
      </c>
      <c r="C6666" t="s">
        <v>6546</v>
      </c>
    </row>
    <row r="6667" spans="1:3" x14ac:dyDescent="0.25">
      <c r="A6667" t="str">
        <f>"0611862760050"</f>
        <v>0611862760050</v>
      </c>
      <c r="B6667" t="str">
        <f>"CE1600"</f>
        <v>CE1600</v>
      </c>
      <c r="C6667" t="s">
        <v>6547</v>
      </c>
    </row>
    <row r="6668" spans="1:3" x14ac:dyDescent="0.25">
      <c r="A6668" t="str">
        <f>"0611884267050"</f>
        <v>0611884267050</v>
      </c>
      <c r="B6668" t="str">
        <f>"CE1744"</f>
        <v>CE1744</v>
      </c>
      <c r="C6668" t="s">
        <v>6548</v>
      </c>
    </row>
    <row r="6669" spans="1:3" x14ac:dyDescent="0.25">
      <c r="A6669" t="str">
        <f>"0611862761050"</f>
        <v>0611862761050</v>
      </c>
      <c r="B6669" t="str">
        <f>"CE1601"</f>
        <v>CE1601</v>
      </c>
      <c r="C6669" t="s">
        <v>6549</v>
      </c>
    </row>
    <row r="6670" spans="1:3" x14ac:dyDescent="0.25">
      <c r="A6670" t="str">
        <f>"0611835726100"</f>
        <v>0611835726100</v>
      </c>
      <c r="B6670" t="str">
        <f>"LQ5848"</f>
        <v>LQ5848</v>
      </c>
      <c r="C6670" t="s">
        <v>6550</v>
      </c>
    </row>
    <row r="6671" spans="1:3" x14ac:dyDescent="0.25">
      <c r="A6671" t="str">
        <f>"0611835727100"</f>
        <v>0611835727100</v>
      </c>
      <c r="B6671" t="str">
        <f>"LQ5850"</f>
        <v>LQ5850</v>
      </c>
      <c r="C6671" t="s">
        <v>6551</v>
      </c>
    </row>
    <row r="6672" spans="1:3" x14ac:dyDescent="0.25">
      <c r="A6672" t="str">
        <f>"0611835698100"</f>
        <v>0611835698100</v>
      </c>
      <c r="B6672" t="str">
        <f>"LQ6142"</f>
        <v>LQ6142</v>
      </c>
      <c r="C6672" t="s">
        <v>6552</v>
      </c>
    </row>
    <row r="6673" spans="1:3" x14ac:dyDescent="0.25">
      <c r="A6673" t="str">
        <f>"0611835728100"</f>
        <v>0611835728100</v>
      </c>
      <c r="B6673" t="str">
        <f>"LQ5958"</f>
        <v>LQ5958</v>
      </c>
      <c r="C6673" t="s">
        <v>6553</v>
      </c>
    </row>
    <row r="6674" spans="1:3" x14ac:dyDescent="0.25">
      <c r="A6674" t="str">
        <f>"0611835729100"</f>
        <v>0611835729100</v>
      </c>
      <c r="B6674" t="str">
        <f>"LQ5853"</f>
        <v>LQ5853</v>
      </c>
      <c r="C6674" t="s">
        <v>6554</v>
      </c>
    </row>
    <row r="6675" spans="1:3" x14ac:dyDescent="0.25">
      <c r="A6675" t="str">
        <f>"0611835730100"</f>
        <v>0611835730100</v>
      </c>
      <c r="B6675" t="str">
        <f>"LQ5959"</f>
        <v>LQ5959</v>
      </c>
      <c r="C6675" t="s">
        <v>6555</v>
      </c>
    </row>
    <row r="6676" spans="1:3" x14ac:dyDescent="0.25">
      <c r="A6676" t="str">
        <f>"0611835731100"</f>
        <v>0611835731100</v>
      </c>
      <c r="B6676" t="str">
        <f>"LQ5806"</f>
        <v>LQ5806</v>
      </c>
      <c r="C6676" t="s">
        <v>6556</v>
      </c>
    </row>
    <row r="6677" spans="1:3" x14ac:dyDescent="0.25">
      <c r="A6677" t="str">
        <f>"0611835734100"</f>
        <v>0611835734100</v>
      </c>
      <c r="B6677" t="str">
        <f>"LQ5808"</f>
        <v>LQ5808</v>
      </c>
      <c r="C6677" t="s">
        <v>6557</v>
      </c>
    </row>
    <row r="6678" spans="1:3" x14ac:dyDescent="0.25">
      <c r="A6678" t="str">
        <f>"0611835735100"</f>
        <v>0611835735100</v>
      </c>
      <c r="B6678" t="str">
        <f>"LQ6068"</f>
        <v>LQ6068</v>
      </c>
      <c r="C6678" t="s">
        <v>6558</v>
      </c>
    </row>
    <row r="6679" spans="1:3" x14ac:dyDescent="0.25">
      <c r="A6679" t="str">
        <f>"0611835738100"</f>
        <v>0611835738100</v>
      </c>
      <c r="B6679" t="str">
        <f>"LQ5855"</f>
        <v>LQ5855</v>
      </c>
      <c r="C6679" t="s">
        <v>6559</v>
      </c>
    </row>
    <row r="6680" spans="1:3" x14ac:dyDescent="0.25">
      <c r="A6680" t="str">
        <f>"0611835739100"</f>
        <v>0611835739100</v>
      </c>
      <c r="B6680" t="str">
        <f>"LQ6069"</f>
        <v>LQ6069</v>
      </c>
      <c r="C6680" t="s">
        <v>6560</v>
      </c>
    </row>
    <row r="6681" spans="1:3" x14ac:dyDescent="0.25">
      <c r="A6681" t="str">
        <f>"0611835740100"</f>
        <v>0611835740100</v>
      </c>
      <c r="B6681" t="str">
        <f>"LQ6023"</f>
        <v>LQ6023</v>
      </c>
      <c r="C6681" t="s">
        <v>6561</v>
      </c>
    </row>
    <row r="6682" spans="1:3" x14ac:dyDescent="0.25">
      <c r="A6682" t="str">
        <f>"0611862707050"</f>
        <v>0611862707050</v>
      </c>
      <c r="B6682" t="str">
        <f>"CR4906"</f>
        <v>CR4906</v>
      </c>
      <c r="C6682" t="s">
        <v>6475</v>
      </c>
    </row>
    <row r="6683" spans="1:3" x14ac:dyDescent="0.25">
      <c r="A6683" t="str">
        <f>"0611862708050"</f>
        <v>0611862708050</v>
      </c>
      <c r="B6683" t="str">
        <f>"CR3776"</f>
        <v>CR3776</v>
      </c>
      <c r="C6683" t="s">
        <v>6476</v>
      </c>
    </row>
    <row r="6684" spans="1:3" x14ac:dyDescent="0.25">
      <c r="A6684" t="str">
        <f>"0611862709050"</f>
        <v>0611862709050</v>
      </c>
      <c r="B6684" t="str">
        <f>"CR3777"</f>
        <v>CR3777</v>
      </c>
      <c r="C6684" t="s">
        <v>6477</v>
      </c>
    </row>
    <row r="6685" spans="1:3" x14ac:dyDescent="0.25">
      <c r="A6685" t="str">
        <f>"0611862710050"</f>
        <v>0611862710050</v>
      </c>
      <c r="B6685" t="str">
        <f>"CR3778"</f>
        <v>CR3778</v>
      </c>
      <c r="C6685" t="s">
        <v>6478</v>
      </c>
    </row>
    <row r="6686" spans="1:3" x14ac:dyDescent="0.25">
      <c r="A6686" t="str">
        <f>"0611884265050"</f>
        <v>0611884265050</v>
      </c>
      <c r="B6686" t="str">
        <f>"CR5309"</f>
        <v>CR5309</v>
      </c>
      <c r="C6686" t="s">
        <v>6479</v>
      </c>
    </row>
    <row r="6687" spans="1:3" x14ac:dyDescent="0.25">
      <c r="A6687" t="str">
        <f>"0611862711050"</f>
        <v>0611862711050</v>
      </c>
      <c r="B6687" t="str">
        <f>"CR3780"</f>
        <v>CR3780</v>
      </c>
      <c r="C6687" t="s">
        <v>6480</v>
      </c>
    </row>
    <row r="6688" spans="1:3" x14ac:dyDescent="0.25">
      <c r="A6688" t="str">
        <f>"0611884266050"</f>
        <v>0611884266050</v>
      </c>
      <c r="B6688" t="str">
        <f>"CR5310"</f>
        <v>CR5310</v>
      </c>
      <c r="C6688" t="s">
        <v>6481</v>
      </c>
    </row>
    <row r="6689" spans="1:3" x14ac:dyDescent="0.25">
      <c r="A6689" t="str">
        <f>"0611862713050"</f>
        <v>0611862713050</v>
      </c>
      <c r="B6689" t="str">
        <f>"CR2591"</f>
        <v>CR2591</v>
      </c>
      <c r="C6689" t="s">
        <v>6482</v>
      </c>
    </row>
    <row r="6690" spans="1:3" x14ac:dyDescent="0.25">
      <c r="A6690" t="str">
        <f>"0611862714050"</f>
        <v>0611862714050</v>
      </c>
      <c r="B6690" t="str">
        <f>"CR3541"</f>
        <v>CR3541</v>
      </c>
      <c r="C6690" t="s">
        <v>6483</v>
      </c>
    </row>
    <row r="6691" spans="1:3" x14ac:dyDescent="0.25">
      <c r="A6691" t="str">
        <f>"0611862715050"</f>
        <v>0611862715050</v>
      </c>
      <c r="B6691" t="str">
        <f>"CR3782"</f>
        <v>CR3782</v>
      </c>
      <c r="C6691" t="s">
        <v>6484</v>
      </c>
    </row>
    <row r="6692" spans="1:3" x14ac:dyDescent="0.25">
      <c r="A6692" t="str">
        <f>"0611862717050"</f>
        <v>0611862717050</v>
      </c>
      <c r="B6692" t="str">
        <f>"CR3959"</f>
        <v>CR3959</v>
      </c>
      <c r="C6692" t="s">
        <v>6485</v>
      </c>
    </row>
    <row r="6693" spans="1:3" x14ac:dyDescent="0.25">
      <c r="A6693" t="str">
        <f>"0611862718050"</f>
        <v>0611862718050</v>
      </c>
      <c r="B6693" t="str">
        <f>"CR3960"</f>
        <v>CR3960</v>
      </c>
      <c r="C6693" t="s">
        <v>6486</v>
      </c>
    </row>
    <row r="6694" spans="1:3" x14ac:dyDescent="0.25">
      <c r="A6694" t="str">
        <f>"0611862719050"</f>
        <v>0611862719050</v>
      </c>
      <c r="B6694" t="str">
        <f>"CR3961"</f>
        <v>CR3961</v>
      </c>
      <c r="C6694" t="s">
        <v>6487</v>
      </c>
    </row>
    <row r="6695" spans="1:3" x14ac:dyDescent="0.25">
      <c r="A6695" t="str">
        <f>"0611862720050"</f>
        <v>0611862720050</v>
      </c>
      <c r="B6695" t="str">
        <f>"CR3962"</f>
        <v>CR3962</v>
      </c>
      <c r="C6695" t="s">
        <v>6488</v>
      </c>
    </row>
    <row r="6696" spans="1:3" x14ac:dyDescent="0.25">
      <c r="A6696" t="str">
        <f>"0611862721050"</f>
        <v>0611862721050</v>
      </c>
      <c r="B6696" t="str">
        <f>"CR4106"</f>
        <v>CR4106</v>
      </c>
      <c r="C6696" t="s">
        <v>6489</v>
      </c>
    </row>
    <row r="6697" spans="1:3" x14ac:dyDescent="0.25">
      <c r="A6697" t="str">
        <f>"0611862722050"</f>
        <v>0611862722050</v>
      </c>
      <c r="B6697" t="str">
        <f>"CR4655"</f>
        <v>CR4655</v>
      </c>
      <c r="C6697" t="s">
        <v>6490</v>
      </c>
    </row>
    <row r="6698" spans="1:3" x14ac:dyDescent="0.25">
      <c r="A6698" t="str">
        <f>"0611862723050"</f>
        <v>0611862723050</v>
      </c>
      <c r="B6698" t="str">
        <f>"CR2594"</f>
        <v>CR2594</v>
      </c>
      <c r="C6698" t="s">
        <v>6491</v>
      </c>
    </row>
    <row r="6699" spans="1:3" x14ac:dyDescent="0.25">
      <c r="A6699" t="str">
        <f>"0611862724050"</f>
        <v>0611862724050</v>
      </c>
      <c r="B6699" t="str">
        <f>"CR2596"</f>
        <v>CR2596</v>
      </c>
      <c r="C6699" t="s">
        <v>6492</v>
      </c>
    </row>
    <row r="6700" spans="1:3" x14ac:dyDescent="0.25">
      <c r="A6700" t="str">
        <f>"0611862725050"</f>
        <v>0611862725050</v>
      </c>
      <c r="B6700" t="str">
        <f>"CR2597"</f>
        <v>CR2597</v>
      </c>
      <c r="C6700" t="s">
        <v>6493</v>
      </c>
    </row>
    <row r="6701" spans="1:3" x14ac:dyDescent="0.25">
      <c r="A6701" t="str">
        <f>"0611862726050"</f>
        <v>0611862726050</v>
      </c>
      <c r="B6701" t="str">
        <f>"CR3781"</f>
        <v>CR3781</v>
      </c>
      <c r="C6701" t="s">
        <v>6494</v>
      </c>
    </row>
    <row r="6702" spans="1:3" x14ac:dyDescent="0.25">
      <c r="A6702" t="str">
        <f>"0611862727050"</f>
        <v>0611862727050</v>
      </c>
      <c r="B6702" t="str">
        <f>"CR2599"</f>
        <v>CR2599</v>
      </c>
      <c r="C6702" t="s">
        <v>6495</v>
      </c>
    </row>
    <row r="6703" spans="1:3" x14ac:dyDescent="0.25">
      <c r="A6703" t="str">
        <f>"0611862728050"</f>
        <v>0611862728050</v>
      </c>
      <c r="B6703" t="str">
        <f>"CR2965"</f>
        <v>CR2965</v>
      </c>
      <c r="C6703" t="s">
        <v>6496</v>
      </c>
    </row>
    <row r="6704" spans="1:3" x14ac:dyDescent="0.25">
      <c r="A6704" t="str">
        <f>"0611862729050"</f>
        <v>0611862729050</v>
      </c>
      <c r="B6704" t="str">
        <f>"CR2600"</f>
        <v>CR2600</v>
      </c>
      <c r="C6704" t="s">
        <v>6497</v>
      </c>
    </row>
    <row r="6705" spans="1:3" x14ac:dyDescent="0.25">
      <c r="A6705" t="str">
        <f>"0611862730050"</f>
        <v>0611862730050</v>
      </c>
      <c r="B6705" t="str">
        <f>"CR2601"</f>
        <v>CR2601</v>
      </c>
      <c r="C6705" t="s">
        <v>6498</v>
      </c>
    </row>
    <row r="6706" spans="1:3" x14ac:dyDescent="0.25">
      <c r="A6706" t="str">
        <f>"0611862738050"</f>
        <v>0611862738050</v>
      </c>
      <c r="B6706" t="str">
        <f>"CR2604"</f>
        <v>CR2604</v>
      </c>
      <c r="C6706" t="s">
        <v>6499</v>
      </c>
    </row>
    <row r="6707" spans="1:3" x14ac:dyDescent="0.25">
      <c r="A6707" t="str">
        <f>"0611835757100"</f>
        <v>0611835757100</v>
      </c>
      <c r="B6707" t="str">
        <f>"LB4150"</f>
        <v>LB4150</v>
      </c>
      <c r="C6707" t="s">
        <v>6563</v>
      </c>
    </row>
    <row r="6708" spans="1:3" x14ac:dyDescent="0.25">
      <c r="A6708" t="str">
        <f>"0611835758100"</f>
        <v>0611835758100</v>
      </c>
      <c r="B6708" t="str">
        <f>"LK1605"</f>
        <v>LK1605</v>
      </c>
      <c r="C6708" t="s">
        <v>6564</v>
      </c>
    </row>
    <row r="6709" spans="1:3" x14ac:dyDescent="0.25">
      <c r="A6709" t="str">
        <f>"0611835781100"</f>
        <v>0611835781100</v>
      </c>
      <c r="B6709" t="str">
        <f>"LK4749"</f>
        <v>LK4749</v>
      </c>
      <c r="C6709" t="s">
        <v>6583</v>
      </c>
    </row>
    <row r="6710" spans="1:3" x14ac:dyDescent="0.25">
      <c r="A6710" t="str">
        <f>"0611835762100"</f>
        <v>0611835762100</v>
      </c>
      <c r="B6710" t="str">
        <f>"LB3349"</f>
        <v>LB3349</v>
      </c>
      <c r="C6710" t="s">
        <v>6568</v>
      </c>
    </row>
    <row r="6711" spans="1:3" x14ac:dyDescent="0.25">
      <c r="A6711" t="str">
        <f>"0611835764100"</f>
        <v>0611835764100</v>
      </c>
      <c r="B6711" t="str">
        <f>"LB4146"</f>
        <v>LB4146</v>
      </c>
      <c r="C6711" t="s">
        <v>6570</v>
      </c>
    </row>
    <row r="6712" spans="1:3" x14ac:dyDescent="0.25">
      <c r="A6712" t="str">
        <f>"0611835782100"</f>
        <v>0611835782100</v>
      </c>
      <c r="B6712" t="str">
        <f>"LB3566"</f>
        <v>LB3566</v>
      </c>
      <c r="C6712" t="s">
        <v>6584</v>
      </c>
    </row>
    <row r="6713" spans="1:3" x14ac:dyDescent="0.25">
      <c r="A6713" t="str">
        <f>"0611835772100"</f>
        <v>0611835772100</v>
      </c>
      <c r="B6713" t="str">
        <f>"LK0207"</f>
        <v>LK0207</v>
      </c>
      <c r="C6713" t="s">
        <v>6576</v>
      </c>
    </row>
    <row r="6714" spans="1:3" x14ac:dyDescent="0.25">
      <c r="A6714" t="str">
        <f>"0611835776100"</f>
        <v>0611835776100</v>
      </c>
      <c r="B6714" t="str">
        <f>"LK1606"</f>
        <v>LK1606</v>
      </c>
      <c r="C6714" t="s">
        <v>6579</v>
      </c>
    </row>
    <row r="6715" spans="1:3" x14ac:dyDescent="0.25">
      <c r="A6715" t="str">
        <f>"0611835756100"</f>
        <v>0611835756100</v>
      </c>
      <c r="B6715" t="str">
        <f>"LK3375"</f>
        <v>LK3375</v>
      </c>
      <c r="C6715" t="s">
        <v>6562</v>
      </c>
    </row>
    <row r="6716" spans="1:3" x14ac:dyDescent="0.25">
      <c r="A6716" t="str">
        <f>"0611835524100"</f>
        <v>0611835524100</v>
      </c>
      <c r="B6716" t="str">
        <f>"LK4687"</f>
        <v>LK4687</v>
      </c>
      <c r="C6716" t="s">
        <v>6244</v>
      </c>
    </row>
    <row r="6717" spans="1:3" x14ac:dyDescent="0.25">
      <c r="A6717" t="str">
        <f>"0611835759100"</f>
        <v>0611835759100</v>
      </c>
      <c r="B6717" t="str">
        <f>"LK3377"</f>
        <v>LK3377</v>
      </c>
      <c r="C6717" t="s">
        <v>6565</v>
      </c>
    </row>
    <row r="6718" spans="1:3" x14ac:dyDescent="0.25">
      <c r="A6718" t="str">
        <f>"0611835760100"</f>
        <v>0611835760100</v>
      </c>
      <c r="B6718" t="str">
        <f>"LK3378"</f>
        <v>LK3378</v>
      </c>
      <c r="C6718" t="s">
        <v>6566</v>
      </c>
    </row>
    <row r="6719" spans="1:3" x14ac:dyDescent="0.25">
      <c r="A6719" t="str">
        <f>"0611835761100"</f>
        <v>0611835761100</v>
      </c>
      <c r="B6719" t="str">
        <f>"LK3379"</f>
        <v>LK3379</v>
      </c>
      <c r="C6719" t="s">
        <v>6567</v>
      </c>
    </row>
    <row r="6720" spans="1:3" x14ac:dyDescent="0.25">
      <c r="A6720" t="str">
        <f>"0611835763100"</f>
        <v>0611835763100</v>
      </c>
      <c r="B6720" t="str">
        <f>"LK4688"</f>
        <v>LK4688</v>
      </c>
      <c r="C6720" t="s">
        <v>6569</v>
      </c>
    </row>
    <row r="6721" spans="1:3" x14ac:dyDescent="0.25">
      <c r="A6721" t="str">
        <f>"0611835766100"</f>
        <v>0611835766100</v>
      </c>
      <c r="B6721" t="str">
        <f>"LK3381"</f>
        <v>LK3381</v>
      </c>
      <c r="C6721" t="s">
        <v>6571</v>
      </c>
    </row>
    <row r="6722" spans="1:3" x14ac:dyDescent="0.25">
      <c r="A6722" t="str">
        <f>"0611835768100"</f>
        <v>0611835768100</v>
      </c>
      <c r="B6722" t="str">
        <f>"LK3382"</f>
        <v>LK3382</v>
      </c>
      <c r="C6722" t="s">
        <v>6572</v>
      </c>
    </row>
    <row r="6723" spans="1:3" x14ac:dyDescent="0.25">
      <c r="A6723" t="str">
        <f>"0611835769100"</f>
        <v>0611835769100</v>
      </c>
      <c r="B6723" t="str">
        <f>"LK3383"</f>
        <v>LK3383</v>
      </c>
      <c r="C6723" t="s">
        <v>6573</v>
      </c>
    </row>
    <row r="6724" spans="1:3" x14ac:dyDescent="0.25">
      <c r="A6724" t="str">
        <f>"0611835770100"</f>
        <v>0611835770100</v>
      </c>
      <c r="B6724" t="str">
        <f>"LK3384"</f>
        <v>LK3384</v>
      </c>
      <c r="C6724" t="s">
        <v>6574</v>
      </c>
    </row>
    <row r="6725" spans="1:3" x14ac:dyDescent="0.25">
      <c r="A6725" t="str">
        <f>"0611835525100"</f>
        <v>0611835525100</v>
      </c>
      <c r="B6725" t="str">
        <f>"LK4483"</f>
        <v>LK4483</v>
      </c>
      <c r="C6725" t="s">
        <v>6245</v>
      </c>
    </row>
    <row r="6726" spans="1:3" x14ac:dyDescent="0.25">
      <c r="A6726" t="str">
        <f>"0611835783100"</f>
        <v>0611835783100</v>
      </c>
      <c r="B6726" t="str">
        <f>"LK4750"</f>
        <v>LK4750</v>
      </c>
      <c r="C6726" t="s">
        <v>6585</v>
      </c>
    </row>
    <row r="6727" spans="1:3" x14ac:dyDescent="0.25">
      <c r="A6727" t="str">
        <f>"0611835771100"</f>
        <v>0611835771100</v>
      </c>
      <c r="B6727" t="str">
        <f>"LK3385"</f>
        <v>LK3385</v>
      </c>
      <c r="C6727" t="s">
        <v>6575</v>
      </c>
    </row>
    <row r="6728" spans="1:3" x14ac:dyDescent="0.25">
      <c r="A6728" t="str">
        <f>"0611835773100"</f>
        <v>0611835773100</v>
      </c>
      <c r="B6728" t="str">
        <f>"LK3386"</f>
        <v>LK3386</v>
      </c>
      <c r="C6728" t="s">
        <v>6577</v>
      </c>
    </row>
    <row r="6729" spans="1:3" x14ac:dyDescent="0.25">
      <c r="A6729" t="str">
        <f>"0611835526100"</f>
        <v>0611835526100</v>
      </c>
      <c r="B6729" t="str">
        <f>"LK4848"</f>
        <v>LK4848</v>
      </c>
      <c r="C6729" t="s">
        <v>6246</v>
      </c>
    </row>
    <row r="6730" spans="1:3" x14ac:dyDescent="0.25">
      <c r="A6730" t="str">
        <f>"0611835775100"</f>
        <v>0611835775100</v>
      </c>
      <c r="B6730" t="str">
        <f>"LK3387"</f>
        <v>LK3387</v>
      </c>
      <c r="C6730" t="s">
        <v>6578</v>
      </c>
    </row>
    <row r="6731" spans="1:3" x14ac:dyDescent="0.25">
      <c r="A6731" t="str">
        <f>"0611835778100"</f>
        <v>0611835778100</v>
      </c>
      <c r="B6731" t="str">
        <f>"LK3388"</f>
        <v>LK3388</v>
      </c>
      <c r="C6731" t="s">
        <v>6580</v>
      </c>
    </row>
    <row r="6732" spans="1:3" x14ac:dyDescent="0.25">
      <c r="A6732" t="str">
        <f>"0611835779100"</f>
        <v>0611835779100</v>
      </c>
      <c r="B6732" t="str">
        <f>"LK3392"</f>
        <v>LK3392</v>
      </c>
      <c r="C6732" t="s">
        <v>6581</v>
      </c>
    </row>
    <row r="6733" spans="1:3" x14ac:dyDescent="0.25">
      <c r="A6733" t="str">
        <f>"0611835529100"</f>
        <v>0611835529100</v>
      </c>
      <c r="B6733" t="str">
        <f>"LK4485"</f>
        <v>LK4485</v>
      </c>
      <c r="C6733" t="s">
        <v>6247</v>
      </c>
    </row>
    <row r="6734" spans="1:3" x14ac:dyDescent="0.25">
      <c r="A6734" t="str">
        <f>"0611835780100"</f>
        <v>0611835780100</v>
      </c>
      <c r="B6734" t="str">
        <f>"LK3393"</f>
        <v>LK3393</v>
      </c>
      <c r="C6734" t="s">
        <v>6582</v>
      </c>
    </row>
    <row r="6735" spans="1:3" x14ac:dyDescent="0.25">
      <c r="A6735" t="str">
        <f>"0611862762050"</f>
        <v>0611862762050</v>
      </c>
      <c r="B6735" t="str">
        <f>"CE1094"</f>
        <v>CE1094</v>
      </c>
      <c r="C6735" t="s">
        <v>6586</v>
      </c>
    </row>
    <row r="6736" spans="1:3" x14ac:dyDescent="0.25">
      <c r="A6736" t="str">
        <f>"0611862765050"</f>
        <v>0611862765050</v>
      </c>
      <c r="B6736" t="str">
        <f>"CE1156"</f>
        <v>CE1156</v>
      </c>
      <c r="C6736" t="s">
        <v>13886</v>
      </c>
    </row>
    <row r="6737" spans="1:3" x14ac:dyDescent="0.25">
      <c r="A6737" t="str">
        <f>"0611862763050"</f>
        <v>0611862763050</v>
      </c>
      <c r="B6737" t="str">
        <f>"CE0601"</f>
        <v>CE0601</v>
      </c>
      <c r="C6737" t="s">
        <v>6587</v>
      </c>
    </row>
    <row r="6738" spans="1:3" x14ac:dyDescent="0.25">
      <c r="A6738" t="str">
        <f>"0611862764050"</f>
        <v>0611862764050</v>
      </c>
      <c r="B6738" t="str">
        <f>"CE1095"</f>
        <v>CE1095</v>
      </c>
      <c r="C6738" t="s">
        <v>6588</v>
      </c>
    </row>
    <row r="6739" spans="1:3" x14ac:dyDescent="0.25">
      <c r="A6739" t="str">
        <f>"0611862766050"</f>
        <v>0611862766050</v>
      </c>
      <c r="B6739" t="str">
        <f>"CE1096"</f>
        <v>CE1096</v>
      </c>
      <c r="C6739" t="s">
        <v>6589</v>
      </c>
    </row>
    <row r="6740" spans="1:3" x14ac:dyDescent="0.25">
      <c r="A6740" t="str">
        <f>"0611862767050"</f>
        <v>0611862767050</v>
      </c>
      <c r="B6740" t="str">
        <f>"CE0602"</f>
        <v>CE0602</v>
      </c>
      <c r="C6740" t="s">
        <v>6590</v>
      </c>
    </row>
    <row r="6741" spans="1:3" x14ac:dyDescent="0.25">
      <c r="A6741" t="str">
        <f>"0611862768050"</f>
        <v>0611862768050</v>
      </c>
      <c r="B6741" t="str">
        <f>"CE0603"</f>
        <v>CE0603</v>
      </c>
      <c r="C6741" t="s">
        <v>6591</v>
      </c>
    </row>
    <row r="6742" spans="1:3" x14ac:dyDescent="0.25">
      <c r="A6742" t="str">
        <f>"0611862769050"</f>
        <v>0611862769050</v>
      </c>
      <c r="B6742" t="str">
        <f>"CE0604"</f>
        <v>CE0604</v>
      </c>
      <c r="C6742" t="s">
        <v>6592</v>
      </c>
    </row>
    <row r="6743" spans="1:3" x14ac:dyDescent="0.25">
      <c r="A6743" t="str">
        <f>"0611862770050"</f>
        <v>0611862770050</v>
      </c>
      <c r="B6743" t="str">
        <f>"CE0605"</f>
        <v>CE0605</v>
      </c>
      <c r="C6743" t="s">
        <v>6593</v>
      </c>
    </row>
    <row r="6744" spans="1:3" x14ac:dyDescent="0.25">
      <c r="A6744" t="str">
        <f>"0611862771050"</f>
        <v>0611862771050</v>
      </c>
      <c r="B6744" t="str">
        <f>"CE0606"</f>
        <v>CE0606</v>
      </c>
      <c r="C6744" t="s">
        <v>6594</v>
      </c>
    </row>
    <row r="6745" spans="1:3" x14ac:dyDescent="0.25">
      <c r="A6745" t="str">
        <f>"0611862772050"</f>
        <v>0611862772050</v>
      </c>
      <c r="B6745" t="str">
        <f>"CE0607"</f>
        <v>CE0607</v>
      </c>
      <c r="C6745" t="s">
        <v>6595</v>
      </c>
    </row>
    <row r="6746" spans="1:3" x14ac:dyDescent="0.25">
      <c r="A6746" t="str">
        <f>"0611862773050"</f>
        <v>0611862773050</v>
      </c>
      <c r="B6746" t="str">
        <f>"CE0608"</f>
        <v>CE0608</v>
      </c>
      <c r="C6746" t="s">
        <v>6596</v>
      </c>
    </row>
    <row r="6747" spans="1:3" x14ac:dyDescent="0.25">
      <c r="A6747" t="str">
        <f>"0611862774050"</f>
        <v>0611862774050</v>
      </c>
      <c r="B6747" t="str">
        <f>"CE0609"</f>
        <v>CE0609</v>
      </c>
      <c r="C6747" t="s">
        <v>6597</v>
      </c>
    </row>
    <row r="6748" spans="1:3" x14ac:dyDescent="0.25">
      <c r="A6748" t="str">
        <f>"0611862775050"</f>
        <v>0611862775050</v>
      </c>
      <c r="B6748" t="str">
        <f>"CE0610"</f>
        <v>CE0610</v>
      </c>
      <c r="C6748" t="s">
        <v>6598</v>
      </c>
    </row>
    <row r="6749" spans="1:3" x14ac:dyDescent="0.25">
      <c r="A6749" t="str">
        <f>"0611862776050"</f>
        <v>0611862776050</v>
      </c>
      <c r="B6749" t="str">
        <f>"CE0611"</f>
        <v>CE0611</v>
      </c>
      <c r="C6749" t="s">
        <v>6599</v>
      </c>
    </row>
    <row r="6750" spans="1:3" x14ac:dyDescent="0.25">
      <c r="A6750" t="str">
        <f>"0611862777050"</f>
        <v>0611862777050</v>
      </c>
      <c r="B6750" t="str">
        <f>"CE0612"</f>
        <v>CE0612</v>
      </c>
      <c r="C6750" t="s">
        <v>6600</v>
      </c>
    </row>
    <row r="6751" spans="1:3" x14ac:dyDescent="0.25">
      <c r="A6751" t="str">
        <f>"0611862778050"</f>
        <v>0611862778050</v>
      </c>
      <c r="B6751" t="str">
        <f>"CE0613"</f>
        <v>CE0613</v>
      </c>
      <c r="C6751" t="s">
        <v>6601</v>
      </c>
    </row>
    <row r="6752" spans="1:3" x14ac:dyDescent="0.25">
      <c r="A6752" t="str">
        <f>"0611862779050"</f>
        <v>0611862779050</v>
      </c>
      <c r="B6752" t="str">
        <f>"CR3896"</f>
        <v>CR3896</v>
      </c>
      <c r="C6752" t="s">
        <v>13887</v>
      </c>
    </row>
    <row r="6753" spans="1:3" x14ac:dyDescent="0.25">
      <c r="A6753" t="str">
        <f>"0611862780050"</f>
        <v>0611862780050</v>
      </c>
      <c r="B6753" t="str">
        <f>"CR3897"</f>
        <v>CR3897</v>
      </c>
      <c r="C6753" t="s">
        <v>13888</v>
      </c>
    </row>
    <row r="6754" spans="1:3" x14ac:dyDescent="0.25">
      <c r="A6754" t="str">
        <f>"0611862781050"</f>
        <v>0611862781050</v>
      </c>
      <c r="B6754" t="str">
        <f>"CR3895"</f>
        <v>CR3895</v>
      </c>
      <c r="C6754" t="s">
        <v>6602</v>
      </c>
    </row>
    <row r="6755" spans="1:3" x14ac:dyDescent="0.25">
      <c r="A6755" t="str">
        <f>"0611862782050"</f>
        <v>0611862782050</v>
      </c>
      <c r="B6755" t="str">
        <f>"CR2428"</f>
        <v>CR2428</v>
      </c>
      <c r="C6755" t="s">
        <v>6603</v>
      </c>
    </row>
    <row r="6756" spans="1:3" x14ac:dyDescent="0.25">
      <c r="A6756" t="str">
        <f>"0611862783050"</f>
        <v>0611862783050</v>
      </c>
      <c r="B6756" t="str">
        <f>"CR3544"</f>
        <v>CR3544</v>
      </c>
      <c r="C6756" t="s">
        <v>13889</v>
      </c>
    </row>
    <row r="6757" spans="1:3" x14ac:dyDescent="0.25">
      <c r="A6757" t="str">
        <f>"0611862784050"</f>
        <v>0611862784050</v>
      </c>
      <c r="B6757" t="str">
        <f>"CR3545"</f>
        <v>CR3545</v>
      </c>
      <c r="C6757" t="s">
        <v>6604</v>
      </c>
    </row>
    <row r="6758" spans="1:3" x14ac:dyDescent="0.25">
      <c r="A6758" t="str">
        <f>"0611862785050"</f>
        <v>0611862785050</v>
      </c>
      <c r="B6758" t="str">
        <f>"CR2430"</f>
        <v>CR2430</v>
      </c>
      <c r="C6758" t="s">
        <v>13890</v>
      </c>
    </row>
    <row r="6759" spans="1:3" x14ac:dyDescent="0.25">
      <c r="A6759" t="str">
        <f>"0611862786050"</f>
        <v>0611862786050</v>
      </c>
      <c r="B6759" t="str">
        <f>"CR2431"</f>
        <v>CR2431</v>
      </c>
      <c r="C6759" t="s">
        <v>13891</v>
      </c>
    </row>
    <row r="6760" spans="1:3" x14ac:dyDescent="0.25">
      <c r="A6760" t="str">
        <f>"0611862787050"</f>
        <v>0611862787050</v>
      </c>
      <c r="B6760" t="str">
        <f>"CR2433"</f>
        <v>CR2433</v>
      </c>
      <c r="C6760" t="s">
        <v>13892</v>
      </c>
    </row>
    <row r="6761" spans="1:3" x14ac:dyDescent="0.25">
      <c r="A6761" t="str">
        <f>"0611862788050"</f>
        <v>0611862788050</v>
      </c>
      <c r="B6761" t="str">
        <f>"CR3963"</f>
        <v>CR3963</v>
      </c>
      <c r="C6761" t="s">
        <v>6605</v>
      </c>
    </row>
    <row r="6762" spans="1:3" x14ac:dyDescent="0.25">
      <c r="A6762" t="str">
        <f>"0611862789050"</f>
        <v>0611862789050</v>
      </c>
      <c r="B6762" t="str">
        <f>"CR2966"</f>
        <v>CR2966</v>
      </c>
      <c r="C6762" t="s">
        <v>6606</v>
      </c>
    </row>
    <row r="6763" spans="1:3" x14ac:dyDescent="0.25">
      <c r="A6763" t="str">
        <f>"0611862790050"</f>
        <v>0611862790050</v>
      </c>
      <c r="B6763" t="str">
        <f>"CR2434"</f>
        <v>CR2434</v>
      </c>
      <c r="C6763" t="s">
        <v>6607</v>
      </c>
    </row>
    <row r="6764" spans="1:3" x14ac:dyDescent="0.25">
      <c r="A6764" t="str">
        <f>"0611862791050"</f>
        <v>0611862791050</v>
      </c>
      <c r="B6764" t="str">
        <f>"CR2435"</f>
        <v>CR2435</v>
      </c>
      <c r="C6764" t="s">
        <v>6608</v>
      </c>
    </row>
    <row r="6765" spans="1:3" x14ac:dyDescent="0.25">
      <c r="A6765" t="str">
        <f>"0611862792050"</f>
        <v>0611862792050</v>
      </c>
      <c r="B6765" t="str">
        <f>"CR2436"</f>
        <v>CR2436</v>
      </c>
      <c r="C6765" t="s">
        <v>6609</v>
      </c>
    </row>
    <row r="6766" spans="1:3" x14ac:dyDescent="0.25">
      <c r="A6766" t="str">
        <f>"0611862793050"</f>
        <v>0611862793050</v>
      </c>
      <c r="B6766" t="str">
        <f>"CR2437"</f>
        <v>CR2437</v>
      </c>
      <c r="C6766" t="s">
        <v>6610</v>
      </c>
    </row>
    <row r="6767" spans="1:3" x14ac:dyDescent="0.25">
      <c r="A6767" t="str">
        <f>"0611835786100"</f>
        <v>0611835786100</v>
      </c>
      <c r="B6767" t="str">
        <f>"LB0741"</f>
        <v>LB0741</v>
      </c>
      <c r="C6767" t="s">
        <v>6611</v>
      </c>
    </row>
    <row r="6768" spans="1:3" x14ac:dyDescent="0.25">
      <c r="A6768" t="str">
        <f>"0611835798100"</f>
        <v>0611835798100</v>
      </c>
      <c r="B6768" t="str">
        <f>"LS0069"</f>
        <v>LS0069</v>
      </c>
      <c r="C6768" t="s">
        <v>6614</v>
      </c>
    </row>
    <row r="6769" spans="1:3" x14ac:dyDescent="0.25">
      <c r="A6769" t="str">
        <f>"0611835797100"</f>
        <v>0611835797100</v>
      </c>
      <c r="B6769" t="str">
        <f>"LS0068"</f>
        <v>LS0068</v>
      </c>
      <c r="C6769" t="s">
        <v>6613</v>
      </c>
    </row>
    <row r="6770" spans="1:3" x14ac:dyDescent="0.25">
      <c r="A6770" t="str">
        <f>"0611835799100"</f>
        <v>0611835799100</v>
      </c>
      <c r="B6770" t="str">
        <f>"LK0495"</f>
        <v>LK0495</v>
      </c>
      <c r="C6770" t="s">
        <v>6615</v>
      </c>
    </row>
    <row r="6771" spans="1:3" x14ac:dyDescent="0.25">
      <c r="A6771" t="str">
        <f>"0611835800100"</f>
        <v>0611835800100</v>
      </c>
      <c r="B6771" t="str">
        <f>"LK4422"</f>
        <v>LK4422</v>
      </c>
      <c r="C6771" t="s">
        <v>6616</v>
      </c>
    </row>
    <row r="6772" spans="1:3" x14ac:dyDescent="0.25">
      <c r="A6772" t="str">
        <f>"0611835801100"</f>
        <v>0611835801100</v>
      </c>
      <c r="B6772" t="str">
        <f>"LS0071"</f>
        <v>LS0071</v>
      </c>
      <c r="C6772" t="s">
        <v>6618</v>
      </c>
    </row>
    <row r="6773" spans="1:3" x14ac:dyDescent="0.25">
      <c r="A6773" t="str">
        <f>"0611862794050"</f>
        <v>0611862794050</v>
      </c>
      <c r="B6773" t="str">
        <f>"CR3546"</f>
        <v>CR3546</v>
      </c>
      <c r="C6773" t="s">
        <v>6619</v>
      </c>
    </row>
    <row r="6774" spans="1:3" x14ac:dyDescent="0.25">
      <c r="A6774" t="str">
        <f>"0611862795050"</f>
        <v>0611862795050</v>
      </c>
      <c r="B6774" t="str">
        <f>"CR4975"</f>
        <v>CR4975</v>
      </c>
      <c r="C6774" t="s">
        <v>6620</v>
      </c>
    </row>
    <row r="6775" spans="1:3" x14ac:dyDescent="0.25">
      <c r="A6775" t="str">
        <f>"0611862796050"</f>
        <v>0611862796050</v>
      </c>
      <c r="B6775" t="str">
        <f>"CR4976"</f>
        <v>CR4976</v>
      </c>
      <c r="C6775" t="s">
        <v>6621</v>
      </c>
    </row>
    <row r="6776" spans="1:3" x14ac:dyDescent="0.25">
      <c r="A6776" t="str">
        <f>"0611862797050"</f>
        <v>0611862797050</v>
      </c>
      <c r="B6776" t="str">
        <f>"CR4977"</f>
        <v>CR4977</v>
      </c>
      <c r="C6776" t="s">
        <v>6622</v>
      </c>
    </row>
    <row r="6777" spans="1:3" x14ac:dyDescent="0.25">
      <c r="A6777" t="str">
        <f>"0611893610050"</f>
        <v>0611893610050</v>
      </c>
      <c r="B6777" t="str">
        <f>"CR5406"</f>
        <v>CR5406</v>
      </c>
      <c r="C6777" t="s">
        <v>6623</v>
      </c>
    </row>
    <row r="6778" spans="1:3" x14ac:dyDescent="0.25">
      <c r="A6778" t="str">
        <f>"0611862798050"</f>
        <v>0611862798050</v>
      </c>
      <c r="B6778" t="str">
        <f>"CR4978"</f>
        <v>CR4978</v>
      </c>
      <c r="C6778" t="s">
        <v>6624</v>
      </c>
    </row>
    <row r="6779" spans="1:3" x14ac:dyDescent="0.25">
      <c r="A6779" t="str">
        <f>"0611884268050"</f>
        <v>0611884268050</v>
      </c>
      <c r="B6779" t="str">
        <f>"CR5415"</f>
        <v>CR5415</v>
      </c>
      <c r="C6779" t="s">
        <v>6625</v>
      </c>
    </row>
    <row r="6780" spans="1:3" x14ac:dyDescent="0.25">
      <c r="A6780" t="str">
        <f>"0611862799050"</f>
        <v>0611862799050</v>
      </c>
      <c r="B6780" t="str">
        <f>"CR3899"</f>
        <v>CR3899</v>
      </c>
      <c r="C6780" t="s">
        <v>6626</v>
      </c>
    </row>
    <row r="6781" spans="1:3" x14ac:dyDescent="0.25">
      <c r="A6781" t="str">
        <f>"0611862800050"</f>
        <v>0611862800050</v>
      </c>
      <c r="B6781" t="str">
        <f>"CR3547"</f>
        <v>CR3547</v>
      </c>
      <c r="C6781" t="s">
        <v>6627</v>
      </c>
    </row>
    <row r="6782" spans="1:3" x14ac:dyDescent="0.25">
      <c r="A6782" t="str">
        <f>"0611835802100"</f>
        <v>0611835802100</v>
      </c>
      <c r="B6782" t="str">
        <f>"LK5792"</f>
        <v>LK5792</v>
      </c>
      <c r="C6782" t="s">
        <v>6628</v>
      </c>
    </row>
    <row r="6783" spans="1:3" x14ac:dyDescent="0.25">
      <c r="A6783" t="str">
        <f>"0611835803100"</f>
        <v>0611835803100</v>
      </c>
      <c r="B6783" t="str">
        <f>"LK5793"</f>
        <v>LK5793</v>
      </c>
      <c r="C6783" t="s">
        <v>6629</v>
      </c>
    </row>
    <row r="6784" spans="1:3" x14ac:dyDescent="0.25">
      <c r="A6784" t="str">
        <f>"0611835804100"</f>
        <v>0611835804100</v>
      </c>
      <c r="B6784" t="str">
        <f>"LK2873"</f>
        <v>LK2873</v>
      </c>
      <c r="C6784" t="s">
        <v>6630</v>
      </c>
    </row>
    <row r="6785" spans="1:3" x14ac:dyDescent="0.25">
      <c r="A6785" t="str">
        <f>"0611835805100"</f>
        <v>0611835805100</v>
      </c>
      <c r="B6785" t="str">
        <f>"LK1512"</f>
        <v>LK1512</v>
      </c>
      <c r="C6785" t="s">
        <v>6631</v>
      </c>
    </row>
    <row r="6786" spans="1:3" x14ac:dyDescent="0.25">
      <c r="A6786" t="str">
        <f>"0611835806100"</f>
        <v>0611835806100</v>
      </c>
      <c r="B6786" t="str">
        <f>"LK2153"</f>
        <v>LK2153</v>
      </c>
      <c r="C6786" t="s">
        <v>6632</v>
      </c>
    </row>
    <row r="6787" spans="1:3" x14ac:dyDescent="0.25">
      <c r="A6787" t="str">
        <f>"0611835807100"</f>
        <v>0611835807100</v>
      </c>
      <c r="B6787" t="str">
        <f>"LK2874"</f>
        <v>LK2874</v>
      </c>
      <c r="C6787" t="s">
        <v>6633</v>
      </c>
    </row>
    <row r="6788" spans="1:3" x14ac:dyDescent="0.25">
      <c r="A6788" t="str">
        <f>"0611835808100"</f>
        <v>0611835808100</v>
      </c>
      <c r="B6788" t="str">
        <f>"LK1863"</f>
        <v>LK1863</v>
      </c>
      <c r="C6788" t="s">
        <v>6634</v>
      </c>
    </row>
    <row r="6789" spans="1:3" x14ac:dyDescent="0.25">
      <c r="A6789" t="str">
        <f>"0611835809100"</f>
        <v>0611835809100</v>
      </c>
      <c r="B6789" t="str">
        <f>"LK3394"</f>
        <v>LK3394</v>
      </c>
      <c r="C6789" t="s">
        <v>6635</v>
      </c>
    </row>
    <row r="6790" spans="1:3" x14ac:dyDescent="0.25">
      <c r="A6790" t="str">
        <f>"0611835810100"</f>
        <v>0611835810100</v>
      </c>
      <c r="B6790" t="str">
        <f>"LK2875"</f>
        <v>LK2875</v>
      </c>
      <c r="C6790" t="s">
        <v>6636</v>
      </c>
    </row>
    <row r="6791" spans="1:3" x14ac:dyDescent="0.25">
      <c r="A6791" t="str">
        <f>"0611835811100"</f>
        <v>0611835811100</v>
      </c>
      <c r="B6791" t="str">
        <f>"LK1513"</f>
        <v>LK1513</v>
      </c>
      <c r="C6791" t="s">
        <v>6637</v>
      </c>
    </row>
    <row r="6792" spans="1:3" x14ac:dyDescent="0.25">
      <c r="A6792" t="str">
        <f>"0611835813100"</f>
        <v>0611835813100</v>
      </c>
      <c r="B6792" t="str">
        <f>"LK1514"</f>
        <v>LK1514</v>
      </c>
      <c r="C6792" t="s">
        <v>6638</v>
      </c>
    </row>
    <row r="6793" spans="1:3" x14ac:dyDescent="0.25">
      <c r="A6793" t="str">
        <f>"0611835814100"</f>
        <v>0611835814100</v>
      </c>
      <c r="B6793" t="str">
        <f>"LK1515"</f>
        <v>LK1515</v>
      </c>
      <c r="C6793" t="s">
        <v>6639</v>
      </c>
    </row>
    <row r="6794" spans="1:3" x14ac:dyDescent="0.25">
      <c r="A6794" t="str">
        <f>"0611835815100"</f>
        <v>0611835815100</v>
      </c>
      <c r="B6794" t="str">
        <f>"LK2876"</f>
        <v>LK2876</v>
      </c>
      <c r="C6794" t="s">
        <v>6640</v>
      </c>
    </row>
    <row r="6795" spans="1:3" x14ac:dyDescent="0.25">
      <c r="A6795" t="str">
        <f>"0611835816100"</f>
        <v>0611835816100</v>
      </c>
      <c r="B6795" t="str">
        <f>"LK1516"</f>
        <v>LK1516</v>
      </c>
      <c r="C6795" t="s">
        <v>6641</v>
      </c>
    </row>
    <row r="6796" spans="1:3" x14ac:dyDescent="0.25">
      <c r="A6796" t="str">
        <f>"0611835817100"</f>
        <v>0611835817100</v>
      </c>
      <c r="B6796" t="str">
        <f>"LK2877"</f>
        <v>LK2877</v>
      </c>
      <c r="C6796" t="s">
        <v>6642</v>
      </c>
    </row>
    <row r="6797" spans="1:3" x14ac:dyDescent="0.25">
      <c r="A6797" t="str">
        <f>"0611835818100"</f>
        <v>0611835818100</v>
      </c>
      <c r="B6797" t="str">
        <f>"LK1517"</f>
        <v>LK1517</v>
      </c>
      <c r="C6797" t="s">
        <v>6643</v>
      </c>
    </row>
    <row r="6798" spans="1:3" x14ac:dyDescent="0.25">
      <c r="A6798" t="str">
        <f>"0611835820100"</f>
        <v>0611835820100</v>
      </c>
      <c r="B6798" t="str">
        <f>"LK2878"</f>
        <v>LK2878</v>
      </c>
      <c r="C6798" t="s">
        <v>6644</v>
      </c>
    </row>
    <row r="6799" spans="1:3" x14ac:dyDescent="0.25">
      <c r="A6799" t="str">
        <f>"0611835821100"</f>
        <v>0611835821100</v>
      </c>
      <c r="B6799" t="str">
        <f>"LK2879"</f>
        <v>LK2879</v>
      </c>
      <c r="C6799" t="s">
        <v>6645</v>
      </c>
    </row>
    <row r="6800" spans="1:3" x14ac:dyDescent="0.25">
      <c r="A6800" t="str">
        <f>"0611835822100"</f>
        <v>0611835822100</v>
      </c>
      <c r="B6800" t="str">
        <f>"LK1518"</f>
        <v>LK1518</v>
      </c>
      <c r="C6800" t="s">
        <v>6646</v>
      </c>
    </row>
    <row r="6801" spans="1:3" x14ac:dyDescent="0.25">
      <c r="A6801" t="str">
        <f>"0611835823100"</f>
        <v>0611835823100</v>
      </c>
      <c r="B6801" t="str">
        <f>"LK1519"</f>
        <v>LK1519</v>
      </c>
      <c r="C6801" t="s">
        <v>6647</v>
      </c>
    </row>
    <row r="6802" spans="1:3" x14ac:dyDescent="0.25">
      <c r="A6802" t="str">
        <f>"0611835824025"</f>
        <v>0611835824025</v>
      </c>
      <c r="B6802" t="str">
        <f>"MC0432"</f>
        <v>MC0432</v>
      </c>
      <c r="C6802" t="s">
        <v>6648</v>
      </c>
    </row>
    <row r="6803" spans="1:3" x14ac:dyDescent="0.25">
      <c r="A6803" t="str">
        <f>"0611884224100"</f>
        <v>0611884224100</v>
      </c>
      <c r="B6803" t="str">
        <f>"BS4701"</f>
        <v>BS4701</v>
      </c>
      <c r="C6803" t="s">
        <v>13893</v>
      </c>
    </row>
    <row r="6804" spans="1:3" x14ac:dyDescent="0.25">
      <c r="A6804" t="str">
        <f>"0611831990025"</f>
        <v>0611831990025</v>
      </c>
      <c r="B6804" t="str">
        <f>"MC4396"</f>
        <v>MC4396</v>
      </c>
      <c r="C6804" t="s">
        <v>13894</v>
      </c>
    </row>
    <row r="6805" spans="1:3" x14ac:dyDescent="0.25">
      <c r="A6805" t="str">
        <f>"0611884225100"</f>
        <v>0611884225100</v>
      </c>
      <c r="B6805" t="str">
        <f>"BS4702"</f>
        <v>BS4702</v>
      </c>
      <c r="C6805" t="s">
        <v>13895</v>
      </c>
    </row>
    <row r="6806" spans="1:3" x14ac:dyDescent="0.25">
      <c r="A6806" t="str">
        <f>"0611836288025"</f>
        <v>0611836288025</v>
      </c>
      <c r="B6806" t="str">
        <f>"MC4397"</f>
        <v>MC4397</v>
      </c>
      <c r="C6806" t="s">
        <v>13896</v>
      </c>
    </row>
    <row r="6807" spans="1:3" x14ac:dyDescent="0.25">
      <c r="A6807" t="str">
        <f>"0611884226100"</f>
        <v>0611884226100</v>
      </c>
      <c r="B6807" t="str">
        <f>"BS4700"</f>
        <v>BS4700</v>
      </c>
      <c r="C6807" t="s">
        <v>13897</v>
      </c>
    </row>
    <row r="6808" spans="1:3" x14ac:dyDescent="0.25">
      <c r="A6808" t="str">
        <f>"0611836748025"</f>
        <v>0611836748025</v>
      </c>
      <c r="B6808" t="str">
        <f>"MC4398"</f>
        <v>MC4398</v>
      </c>
      <c r="C6808" t="s">
        <v>13898</v>
      </c>
    </row>
    <row r="6809" spans="1:3" x14ac:dyDescent="0.25">
      <c r="A6809" t="str">
        <f>"0611835825100"</f>
        <v>0611835825100</v>
      </c>
      <c r="B6809" t="str">
        <f>"LK0416"</f>
        <v>LK0416</v>
      </c>
      <c r="C6809" t="s">
        <v>6649</v>
      </c>
    </row>
    <row r="6810" spans="1:3" x14ac:dyDescent="0.25">
      <c r="A6810" t="str">
        <f>"0611835826100"</f>
        <v>0611835826100</v>
      </c>
      <c r="B6810" t="str">
        <f>"LL5000"</f>
        <v>LL5000</v>
      </c>
      <c r="C6810" t="s">
        <v>6650</v>
      </c>
    </row>
    <row r="6811" spans="1:3" x14ac:dyDescent="0.25">
      <c r="A6811" t="str">
        <f>"0611862801050"</f>
        <v>0611862801050</v>
      </c>
      <c r="B6811" t="str">
        <f>"CR4138"</f>
        <v>CR4138</v>
      </c>
      <c r="C6811" t="s">
        <v>6651</v>
      </c>
    </row>
    <row r="6812" spans="1:3" x14ac:dyDescent="0.25">
      <c r="A6812" t="str">
        <f>"0611835828100"</f>
        <v>0611835828100</v>
      </c>
      <c r="B6812" t="str">
        <f>"LB4200"</f>
        <v>LB4200</v>
      </c>
      <c r="C6812" t="s">
        <v>6652</v>
      </c>
    </row>
    <row r="6813" spans="1:3" x14ac:dyDescent="0.25">
      <c r="A6813" t="str">
        <f>"0611835829025"</f>
        <v>0611835829025</v>
      </c>
      <c r="B6813" t="str">
        <f>"MC1439"</f>
        <v>MC1439</v>
      </c>
      <c r="C6813" t="s">
        <v>6653</v>
      </c>
    </row>
    <row r="6814" spans="1:3" x14ac:dyDescent="0.25">
      <c r="A6814" t="str">
        <f>"0611862802050"</f>
        <v>0611862802050</v>
      </c>
      <c r="B6814" t="str">
        <f>"CR3201"</f>
        <v>CR3201</v>
      </c>
      <c r="C6814" t="s">
        <v>6654</v>
      </c>
    </row>
    <row r="6815" spans="1:3" x14ac:dyDescent="0.25">
      <c r="A6815" t="str">
        <f>"0611835830100"</f>
        <v>0611835830100</v>
      </c>
      <c r="B6815" t="str">
        <f>"LL0137"</f>
        <v>LL0137</v>
      </c>
      <c r="C6815" t="s">
        <v>6655</v>
      </c>
    </row>
    <row r="6816" spans="1:3" x14ac:dyDescent="0.25">
      <c r="A6816" t="str">
        <f>"0611835831100"</f>
        <v>0611835831100</v>
      </c>
      <c r="B6816" t="str">
        <f>"LQ3780"</f>
        <v>LQ3780</v>
      </c>
      <c r="C6816" t="s">
        <v>6661</v>
      </c>
    </row>
    <row r="6817" spans="1:3" x14ac:dyDescent="0.25">
      <c r="A6817" t="str">
        <f>"0611835832100"</f>
        <v>0611835832100</v>
      </c>
      <c r="B6817" t="str">
        <f>"LQ3213"</f>
        <v>LQ3213</v>
      </c>
      <c r="C6817" t="s">
        <v>6656</v>
      </c>
    </row>
    <row r="6818" spans="1:3" x14ac:dyDescent="0.25">
      <c r="A6818" t="str">
        <f>"0611862803050"</f>
        <v>0611862803050</v>
      </c>
      <c r="B6818" t="str">
        <f>"CR2646"</f>
        <v>CR2646</v>
      </c>
      <c r="C6818" t="s">
        <v>6662</v>
      </c>
    </row>
    <row r="6819" spans="1:3" x14ac:dyDescent="0.25">
      <c r="A6819" t="str">
        <f>"0611835833100"</f>
        <v>0611835833100</v>
      </c>
      <c r="B6819" t="str">
        <f>"LQ3778"</f>
        <v>LQ3778</v>
      </c>
      <c r="C6819" t="s">
        <v>6657</v>
      </c>
    </row>
    <row r="6820" spans="1:3" x14ac:dyDescent="0.25">
      <c r="A6820" t="str">
        <f>"0611862804050"</f>
        <v>0611862804050</v>
      </c>
      <c r="B6820" t="str">
        <f>"CR3451"</f>
        <v>CR3451</v>
      </c>
      <c r="C6820" t="s">
        <v>6663</v>
      </c>
    </row>
    <row r="6821" spans="1:3" x14ac:dyDescent="0.25">
      <c r="A6821" t="str">
        <f>"0611862805050"</f>
        <v>0611862805050</v>
      </c>
      <c r="B6821" t="str">
        <f>"CR3293"</f>
        <v>CR3293</v>
      </c>
      <c r="C6821" t="s">
        <v>6664</v>
      </c>
    </row>
    <row r="6822" spans="1:3" x14ac:dyDescent="0.25">
      <c r="A6822" t="str">
        <f>"0611862806050"</f>
        <v>0611862806050</v>
      </c>
      <c r="B6822" t="str">
        <f>"CR3373"</f>
        <v>CR3373</v>
      </c>
      <c r="C6822" t="s">
        <v>6665</v>
      </c>
    </row>
    <row r="6823" spans="1:3" x14ac:dyDescent="0.25">
      <c r="A6823" t="str">
        <f>"0611835834100"</f>
        <v>0611835834100</v>
      </c>
      <c r="B6823" t="str">
        <f>"LQ3214"</f>
        <v>LQ3214</v>
      </c>
      <c r="C6823" t="s">
        <v>6658</v>
      </c>
    </row>
    <row r="6824" spans="1:3" x14ac:dyDescent="0.25">
      <c r="A6824" t="str">
        <f>"0611862807050"</f>
        <v>0611862807050</v>
      </c>
      <c r="B6824" t="str">
        <f>"CR2352"</f>
        <v>CR2352</v>
      </c>
      <c r="C6824" t="s">
        <v>6666</v>
      </c>
    </row>
    <row r="6825" spans="1:3" x14ac:dyDescent="0.25">
      <c r="A6825" t="str">
        <f>"0611835835100"</f>
        <v>0611835835100</v>
      </c>
      <c r="B6825" t="str">
        <f>"LQ3779"</f>
        <v>LQ3779</v>
      </c>
      <c r="C6825" t="s">
        <v>6659</v>
      </c>
    </row>
    <row r="6826" spans="1:3" x14ac:dyDescent="0.25">
      <c r="A6826" t="str">
        <f>"0611835836100"</f>
        <v>0611835836100</v>
      </c>
      <c r="B6826" t="str">
        <f>"LQ3215"</f>
        <v>LQ3215</v>
      </c>
      <c r="C6826" t="s">
        <v>6660</v>
      </c>
    </row>
    <row r="6827" spans="1:3" x14ac:dyDescent="0.25">
      <c r="A6827" t="str">
        <f>"0611862808050"</f>
        <v>0611862808050</v>
      </c>
      <c r="B6827" t="str">
        <f>"CR2865"</f>
        <v>CR2865</v>
      </c>
      <c r="C6827" t="s">
        <v>6667</v>
      </c>
    </row>
    <row r="6828" spans="1:3" x14ac:dyDescent="0.25">
      <c r="A6828" t="str">
        <f>"0611835838100"</f>
        <v>0611835838100</v>
      </c>
      <c r="B6828" t="str">
        <f>"LK0991"</f>
        <v>LK0991</v>
      </c>
      <c r="C6828" t="s">
        <v>6668</v>
      </c>
    </row>
    <row r="6829" spans="1:3" x14ac:dyDescent="0.25">
      <c r="A6829" t="str">
        <f>"0611835839100"</f>
        <v>0611835839100</v>
      </c>
      <c r="B6829" t="str">
        <f>"LK0503"</f>
        <v>LK0503</v>
      </c>
      <c r="C6829" t="s">
        <v>6669</v>
      </c>
    </row>
    <row r="6830" spans="1:3" x14ac:dyDescent="0.25">
      <c r="A6830" t="str">
        <f>"0611835840100"</f>
        <v>0611835840100</v>
      </c>
      <c r="B6830" t="str">
        <f>"LB5634"</f>
        <v>LB5634</v>
      </c>
      <c r="C6830" t="s">
        <v>6670</v>
      </c>
    </row>
    <row r="6831" spans="1:3" x14ac:dyDescent="0.25">
      <c r="A6831" t="str">
        <f>"0611835841100"</f>
        <v>0611835841100</v>
      </c>
      <c r="B6831" t="str">
        <f>"LK2784"</f>
        <v>LK2784</v>
      </c>
      <c r="C6831" t="s">
        <v>6671</v>
      </c>
    </row>
    <row r="6832" spans="1:3" x14ac:dyDescent="0.25">
      <c r="A6832" t="str">
        <f>"0611857004100"</f>
        <v>0611857004100</v>
      </c>
      <c r="B6832" t="str">
        <f>"LK7059"</f>
        <v>LK7059</v>
      </c>
      <c r="C6832" t="s">
        <v>6672</v>
      </c>
    </row>
    <row r="6833" spans="1:3" x14ac:dyDescent="0.25">
      <c r="A6833" t="str">
        <f>"0611862809050"</f>
        <v>0611862809050</v>
      </c>
      <c r="B6833" t="str">
        <f>"CR3890"</f>
        <v>CR3890</v>
      </c>
      <c r="C6833" t="s">
        <v>6673</v>
      </c>
    </row>
    <row r="6834" spans="1:3" x14ac:dyDescent="0.25">
      <c r="A6834" t="str">
        <f>"0611862810050"</f>
        <v>0611862810050</v>
      </c>
      <c r="B6834" t="str">
        <f>"CR2353"</f>
        <v>CR2353</v>
      </c>
      <c r="C6834" t="s">
        <v>6674</v>
      </c>
    </row>
    <row r="6835" spans="1:3" x14ac:dyDescent="0.25">
      <c r="A6835" t="str">
        <f>"0611862811050"</f>
        <v>0611862811050</v>
      </c>
      <c r="B6835" t="str">
        <f>"CR2968"</f>
        <v>CR2968</v>
      </c>
      <c r="C6835" t="s">
        <v>6675</v>
      </c>
    </row>
    <row r="6836" spans="1:3" x14ac:dyDescent="0.25">
      <c r="A6836" t="str">
        <f>"0611862812050"</f>
        <v>0611862812050</v>
      </c>
      <c r="B6836" t="str">
        <f>"CR3716"</f>
        <v>CR3716</v>
      </c>
      <c r="C6836" t="s">
        <v>6676</v>
      </c>
    </row>
    <row r="6837" spans="1:3" x14ac:dyDescent="0.25">
      <c r="A6837" t="str">
        <f>"0611862813050"</f>
        <v>0611862813050</v>
      </c>
      <c r="B6837" t="str">
        <f>"CR2351"</f>
        <v>CR2351</v>
      </c>
      <c r="C6837" t="s">
        <v>6677</v>
      </c>
    </row>
    <row r="6838" spans="1:3" x14ac:dyDescent="0.25">
      <c r="A6838" t="str">
        <f>"0611862814050"</f>
        <v>0611862814050</v>
      </c>
      <c r="B6838" t="str">
        <f>"CR2354"</f>
        <v>CR2354</v>
      </c>
      <c r="C6838" t="s">
        <v>6678</v>
      </c>
    </row>
    <row r="6839" spans="1:3" x14ac:dyDescent="0.25">
      <c r="A6839" t="str">
        <f>"0611862815050"</f>
        <v>0611862815050</v>
      </c>
      <c r="B6839" t="str">
        <f>"CR2355"</f>
        <v>CR2355</v>
      </c>
      <c r="C6839" t="s">
        <v>6679</v>
      </c>
    </row>
    <row r="6840" spans="1:3" x14ac:dyDescent="0.25">
      <c r="A6840" t="str">
        <f>"0611835850100"</f>
        <v>0611835850100</v>
      </c>
      <c r="B6840" t="str">
        <f>"MB3400"</f>
        <v>MB3400</v>
      </c>
      <c r="C6840" t="s">
        <v>6682</v>
      </c>
    </row>
    <row r="6841" spans="1:3" x14ac:dyDescent="0.25">
      <c r="A6841" t="str">
        <f>"0611835843100"</f>
        <v>0611835843100</v>
      </c>
      <c r="B6841" t="str">
        <f>"LL5001"</f>
        <v>LL5001</v>
      </c>
      <c r="C6841" t="s">
        <v>6680</v>
      </c>
    </row>
    <row r="6842" spans="1:3" x14ac:dyDescent="0.25">
      <c r="A6842" t="str">
        <f>"0611857005100"</f>
        <v>0611857005100</v>
      </c>
      <c r="B6842" t="str">
        <f>"LK7060"</f>
        <v>LK7060</v>
      </c>
      <c r="C6842" t="s">
        <v>6681</v>
      </c>
    </row>
    <row r="6843" spans="1:3" x14ac:dyDescent="0.25">
      <c r="A6843" t="str">
        <f>"0611835844100"</f>
        <v>0611835844100</v>
      </c>
      <c r="B6843" t="str">
        <f>"LK0504"</f>
        <v>LK0504</v>
      </c>
      <c r="C6843" t="s">
        <v>6683</v>
      </c>
    </row>
    <row r="6844" spans="1:3" x14ac:dyDescent="0.25">
      <c r="A6844" t="str">
        <f>"0611835847100"</f>
        <v>0611835847100</v>
      </c>
      <c r="B6844" t="str">
        <f>"LK1864"</f>
        <v>LK1864</v>
      </c>
      <c r="C6844" t="s">
        <v>6684</v>
      </c>
    </row>
    <row r="6845" spans="1:3" x14ac:dyDescent="0.25">
      <c r="A6845" t="str">
        <f>"0611835848100"</f>
        <v>0611835848100</v>
      </c>
      <c r="B6845" t="str">
        <f>"LK3614"</f>
        <v>LK3614</v>
      </c>
      <c r="C6845" t="s">
        <v>6685</v>
      </c>
    </row>
    <row r="6846" spans="1:3" x14ac:dyDescent="0.25">
      <c r="A6846" t="str">
        <f>"0611835849100"</f>
        <v>0611835849100</v>
      </c>
      <c r="B6846" t="str">
        <f>"LB5635"</f>
        <v>LB5635</v>
      </c>
      <c r="C6846" t="s">
        <v>6686</v>
      </c>
    </row>
    <row r="6847" spans="1:3" x14ac:dyDescent="0.25">
      <c r="A6847" t="str">
        <f>"0611835851100"</f>
        <v>0611835851100</v>
      </c>
      <c r="B6847" t="str">
        <f>"LQ3310"</f>
        <v>LQ3310</v>
      </c>
      <c r="C6847" t="s">
        <v>6687</v>
      </c>
    </row>
    <row r="6848" spans="1:3" x14ac:dyDescent="0.25">
      <c r="A6848" t="str">
        <f>"0611835852100"</f>
        <v>0611835852100</v>
      </c>
      <c r="B6848" t="str">
        <f>"LK3708"</f>
        <v>LK3708</v>
      </c>
      <c r="C6848" t="s">
        <v>6688</v>
      </c>
    </row>
    <row r="6849" spans="1:3" x14ac:dyDescent="0.25">
      <c r="A6849" t="str">
        <f>"0611835853100"</f>
        <v>0611835853100</v>
      </c>
      <c r="B6849" t="str">
        <f>"LK6011"</f>
        <v>LK6011</v>
      </c>
      <c r="C6849" t="s">
        <v>6689</v>
      </c>
    </row>
    <row r="6850" spans="1:3" x14ac:dyDescent="0.25">
      <c r="A6850" t="str">
        <f>"0611835854100"</f>
        <v>0611835854100</v>
      </c>
      <c r="B6850" t="str">
        <f>"LB4201"</f>
        <v>LB4201</v>
      </c>
      <c r="C6850" t="s">
        <v>6690</v>
      </c>
    </row>
    <row r="6851" spans="1:3" x14ac:dyDescent="0.25">
      <c r="A6851" t="str">
        <f>"0611835855025"</f>
        <v>0611835855025</v>
      </c>
      <c r="B6851" t="str">
        <f>"MC1440"</f>
        <v>MC1440</v>
      </c>
      <c r="C6851" t="s">
        <v>6691</v>
      </c>
    </row>
    <row r="6852" spans="1:3" x14ac:dyDescent="0.25">
      <c r="A6852" t="str">
        <f>"0611862816050"</f>
        <v>0611862816050</v>
      </c>
      <c r="B6852" t="str">
        <f>"CR2356"</f>
        <v>CR2356</v>
      </c>
      <c r="C6852" t="s">
        <v>6692</v>
      </c>
    </row>
    <row r="6853" spans="1:3" x14ac:dyDescent="0.25">
      <c r="A6853" t="str">
        <f>"0611835856100"</f>
        <v>0611835856100</v>
      </c>
      <c r="B6853" t="str">
        <f>"LK5939"</f>
        <v>LK5939</v>
      </c>
      <c r="C6853" t="s">
        <v>6693</v>
      </c>
    </row>
    <row r="6854" spans="1:3" x14ac:dyDescent="0.25">
      <c r="A6854" t="str">
        <f>"0611835858100"</f>
        <v>0611835858100</v>
      </c>
      <c r="B6854" t="str">
        <f>"LB5620"</f>
        <v>LB5620</v>
      </c>
      <c r="C6854" t="s">
        <v>6694</v>
      </c>
    </row>
    <row r="6855" spans="1:3" x14ac:dyDescent="0.25">
      <c r="A6855" t="str">
        <f>"0611835859100"</f>
        <v>0611835859100</v>
      </c>
      <c r="B6855" t="str">
        <f>"LB5631"</f>
        <v>LB5631</v>
      </c>
      <c r="C6855" t="s">
        <v>6695</v>
      </c>
    </row>
    <row r="6856" spans="1:3" x14ac:dyDescent="0.25">
      <c r="A6856" t="str">
        <f>"0611835863100"</f>
        <v>0611835863100</v>
      </c>
      <c r="B6856" t="str">
        <f>"LB5636"</f>
        <v>LB5636</v>
      </c>
      <c r="C6856" t="s">
        <v>6696</v>
      </c>
    </row>
    <row r="6857" spans="1:3" x14ac:dyDescent="0.25">
      <c r="A6857" t="str">
        <f>"0611835865100"</f>
        <v>0611835865100</v>
      </c>
      <c r="B6857" t="str">
        <f>"LK0805"</f>
        <v>LK0805</v>
      </c>
      <c r="C6857" t="s">
        <v>6697</v>
      </c>
    </row>
    <row r="6858" spans="1:3" x14ac:dyDescent="0.25">
      <c r="A6858" t="str">
        <f>"0611862817050"</f>
        <v>0611862817050</v>
      </c>
      <c r="B6858" t="str">
        <f>"CE0442"</f>
        <v>CE0442</v>
      </c>
      <c r="C6858" t="s">
        <v>6698</v>
      </c>
    </row>
    <row r="6859" spans="1:3" x14ac:dyDescent="0.25">
      <c r="A6859" t="str">
        <f>"0611862818050"</f>
        <v>0611862818050</v>
      </c>
      <c r="B6859" t="str">
        <f>"CE0443"</f>
        <v>CE0443</v>
      </c>
      <c r="C6859" t="s">
        <v>6699</v>
      </c>
    </row>
    <row r="6860" spans="1:3" x14ac:dyDescent="0.25">
      <c r="A6860" t="str">
        <f>"0611862819050"</f>
        <v>0611862819050</v>
      </c>
      <c r="B6860" t="str">
        <f>"CE0813"</f>
        <v>CE0813</v>
      </c>
      <c r="C6860" t="s">
        <v>6700</v>
      </c>
    </row>
    <row r="6861" spans="1:3" x14ac:dyDescent="0.25">
      <c r="A6861" t="str">
        <f>"0611862820050"</f>
        <v>0611862820050</v>
      </c>
      <c r="B6861" t="str">
        <f>"CE1232"</f>
        <v>CE1232</v>
      </c>
      <c r="C6861" t="s">
        <v>6701</v>
      </c>
    </row>
    <row r="6862" spans="1:3" x14ac:dyDescent="0.25">
      <c r="A6862" t="str">
        <f>"0611862822050"</f>
        <v>0611862822050</v>
      </c>
      <c r="B6862" t="str">
        <f>"CE0781"</f>
        <v>CE0781</v>
      </c>
      <c r="C6862" t="s">
        <v>6702</v>
      </c>
    </row>
    <row r="6863" spans="1:3" x14ac:dyDescent="0.25">
      <c r="A6863" t="str">
        <f>"0611835866100"</f>
        <v>0611835866100</v>
      </c>
      <c r="B6863" t="str">
        <f>"LB5633"</f>
        <v>LB5633</v>
      </c>
      <c r="C6863" t="s">
        <v>6703</v>
      </c>
    </row>
    <row r="6864" spans="1:3" x14ac:dyDescent="0.25">
      <c r="A6864" t="str">
        <f>"0611857006100"</f>
        <v>0611857006100</v>
      </c>
      <c r="B6864" t="str">
        <f>"LQ3900"</f>
        <v>LQ3900</v>
      </c>
      <c r="C6864" t="s">
        <v>6704</v>
      </c>
    </row>
    <row r="6865" spans="1:3" x14ac:dyDescent="0.25">
      <c r="A6865" t="str">
        <f>"0611835867100"</f>
        <v>0611835867100</v>
      </c>
      <c r="B6865" t="str">
        <f>"LQ3468"</f>
        <v>LQ3468</v>
      </c>
      <c r="C6865" t="s">
        <v>6705</v>
      </c>
    </row>
    <row r="6866" spans="1:3" x14ac:dyDescent="0.25">
      <c r="A6866" t="str">
        <f>"0611835869100"</f>
        <v>0611835869100</v>
      </c>
      <c r="B6866" t="str">
        <f>"LQ3286"</f>
        <v>LQ3286</v>
      </c>
      <c r="C6866" t="s">
        <v>6706</v>
      </c>
    </row>
    <row r="6867" spans="1:3" x14ac:dyDescent="0.25">
      <c r="A6867" t="str">
        <f>"0611906821100"</f>
        <v>0611906821100</v>
      </c>
      <c r="B6867" t="str">
        <f>"LQ3998"</f>
        <v>LQ3998</v>
      </c>
      <c r="C6867" t="s">
        <v>6707</v>
      </c>
    </row>
    <row r="6868" spans="1:3" x14ac:dyDescent="0.25">
      <c r="A6868" t="str">
        <f>"0611906822100"</f>
        <v>0611906822100</v>
      </c>
      <c r="B6868" t="str">
        <f>"LQ3999"</f>
        <v>LQ3999</v>
      </c>
      <c r="C6868" t="s">
        <v>6708</v>
      </c>
    </row>
    <row r="6869" spans="1:3" x14ac:dyDescent="0.25">
      <c r="A6869" t="str">
        <f>"0611835870100"</f>
        <v>0611835870100</v>
      </c>
      <c r="B6869" t="str">
        <f>"LQ3691"</f>
        <v>LQ3691</v>
      </c>
      <c r="C6869" t="s">
        <v>6709</v>
      </c>
    </row>
    <row r="6870" spans="1:3" x14ac:dyDescent="0.25">
      <c r="A6870" t="str">
        <f>"0611835874100"</f>
        <v>0611835874100</v>
      </c>
      <c r="B6870" t="str">
        <f>"LQ3287"</f>
        <v>LQ3287</v>
      </c>
      <c r="C6870" t="s">
        <v>6711</v>
      </c>
    </row>
    <row r="6871" spans="1:3" x14ac:dyDescent="0.25">
      <c r="A6871" t="str">
        <f>"0611835871100"</f>
        <v>0611835871100</v>
      </c>
      <c r="B6871" t="str">
        <f>"LQ3288"</f>
        <v>LQ3288</v>
      </c>
      <c r="C6871" t="s">
        <v>6712</v>
      </c>
    </row>
    <row r="6872" spans="1:3" x14ac:dyDescent="0.25">
      <c r="A6872" t="str">
        <f>"0611835872100"</f>
        <v>0611835872100</v>
      </c>
      <c r="B6872" t="str">
        <f>"LQ3289"</f>
        <v>LQ3289</v>
      </c>
      <c r="C6872" t="s">
        <v>6713</v>
      </c>
    </row>
    <row r="6873" spans="1:3" x14ac:dyDescent="0.25">
      <c r="A6873" t="str">
        <f>"0611884269100"</f>
        <v>0611884269100</v>
      </c>
      <c r="B6873" t="str">
        <f>"LQ3931"</f>
        <v>LQ3931</v>
      </c>
      <c r="C6873" t="s">
        <v>6710</v>
      </c>
    </row>
    <row r="6874" spans="1:3" x14ac:dyDescent="0.25">
      <c r="A6874" t="str">
        <f>"0611857007100"</f>
        <v>0611857007100</v>
      </c>
      <c r="B6874" t="str">
        <f>"LQ3901"</f>
        <v>LQ3901</v>
      </c>
      <c r="C6874" t="s">
        <v>6714</v>
      </c>
    </row>
    <row r="6875" spans="1:3" x14ac:dyDescent="0.25">
      <c r="A6875" t="str">
        <f>"0611906823100"</f>
        <v>0611906823100</v>
      </c>
      <c r="B6875" t="str">
        <f>"LQ4000"</f>
        <v>LQ4000</v>
      </c>
      <c r="C6875" t="s">
        <v>6715</v>
      </c>
    </row>
    <row r="6876" spans="1:3" x14ac:dyDescent="0.25">
      <c r="A6876" t="str">
        <f>"0611835875100"</f>
        <v>0611835875100</v>
      </c>
      <c r="B6876" t="str">
        <f>"LQ3692"</f>
        <v>LQ3692</v>
      </c>
      <c r="C6876" t="s">
        <v>6716</v>
      </c>
    </row>
    <row r="6877" spans="1:3" x14ac:dyDescent="0.25">
      <c r="A6877" t="str">
        <f>"0611835873100"</f>
        <v>0611835873100</v>
      </c>
      <c r="B6877" t="str">
        <f>"LL5003"</f>
        <v>LL5003</v>
      </c>
      <c r="C6877" t="s">
        <v>6717</v>
      </c>
    </row>
    <row r="6878" spans="1:3" x14ac:dyDescent="0.25">
      <c r="A6878" t="str">
        <f>"0611835876100"</f>
        <v>0611835876100</v>
      </c>
      <c r="B6878" t="str">
        <f>"LB4202"</f>
        <v>LB4202</v>
      </c>
      <c r="C6878" t="s">
        <v>6718</v>
      </c>
    </row>
    <row r="6879" spans="1:3" x14ac:dyDescent="0.25">
      <c r="A6879" t="str">
        <f>"0611835877025"</f>
        <v>0611835877025</v>
      </c>
      <c r="B6879" t="str">
        <f>"MC1441"</f>
        <v>MC1441</v>
      </c>
      <c r="C6879" t="s">
        <v>6719</v>
      </c>
    </row>
    <row r="6880" spans="1:3" x14ac:dyDescent="0.25">
      <c r="A6880" t="str">
        <f>"0611862823050"</f>
        <v>0611862823050</v>
      </c>
      <c r="B6880" t="str">
        <f>"CR4139"</f>
        <v>CR4139</v>
      </c>
      <c r="C6880" t="s">
        <v>6720</v>
      </c>
    </row>
    <row r="6881" spans="1:3" x14ac:dyDescent="0.25">
      <c r="A6881" t="str">
        <f>"0611835879100"</f>
        <v>0611835879100</v>
      </c>
      <c r="B6881" t="str">
        <f>"LS0119"</f>
        <v>LS0119</v>
      </c>
      <c r="C6881" t="s">
        <v>6721</v>
      </c>
    </row>
    <row r="6882" spans="1:3" x14ac:dyDescent="0.25">
      <c r="A6882" t="str">
        <f>"0611862824050"</f>
        <v>0611862824050</v>
      </c>
      <c r="B6882" t="str">
        <f>"CR2969"</f>
        <v>CR2969</v>
      </c>
      <c r="C6882" t="s">
        <v>6722</v>
      </c>
    </row>
    <row r="6883" spans="1:3" x14ac:dyDescent="0.25">
      <c r="A6883" t="str">
        <f>"0611835880100"</f>
        <v>0611835880100</v>
      </c>
      <c r="B6883" t="str">
        <f>"LK6212"</f>
        <v>LK6212</v>
      </c>
      <c r="C6883" t="s">
        <v>6723</v>
      </c>
    </row>
    <row r="6884" spans="1:3" x14ac:dyDescent="0.25">
      <c r="A6884" t="str">
        <f>"0611835881100"</f>
        <v>0611835881100</v>
      </c>
      <c r="B6884" t="str">
        <f>"LK3268"</f>
        <v>LK3268</v>
      </c>
      <c r="C6884" t="s">
        <v>6724</v>
      </c>
    </row>
    <row r="6885" spans="1:3" x14ac:dyDescent="0.25">
      <c r="A6885" t="str">
        <f>"0611835882025"</f>
        <v>0611835882025</v>
      </c>
      <c r="B6885" t="str">
        <f>"MC1690"</f>
        <v>MC1690</v>
      </c>
      <c r="C6885" t="s">
        <v>6725</v>
      </c>
    </row>
    <row r="6886" spans="1:3" x14ac:dyDescent="0.25">
      <c r="A6886" t="str">
        <f>"0611835883100"</f>
        <v>0611835883100</v>
      </c>
      <c r="B6886" t="str">
        <f>"LK0596"</f>
        <v>LK0596</v>
      </c>
      <c r="C6886" t="s">
        <v>6726</v>
      </c>
    </row>
    <row r="6887" spans="1:3" x14ac:dyDescent="0.25">
      <c r="A6887" t="str">
        <f>"0611835884100"</f>
        <v>0611835884100</v>
      </c>
      <c r="B6887" t="str">
        <f>"LK5576"</f>
        <v>LK5576</v>
      </c>
      <c r="C6887" t="s">
        <v>6727</v>
      </c>
    </row>
    <row r="6888" spans="1:3" x14ac:dyDescent="0.25">
      <c r="A6888" t="str">
        <f>"0611835885100"</f>
        <v>0611835885100</v>
      </c>
      <c r="B6888" t="str">
        <f>"LK3269"</f>
        <v>LK3269</v>
      </c>
      <c r="C6888" t="s">
        <v>6728</v>
      </c>
    </row>
    <row r="6889" spans="1:3" x14ac:dyDescent="0.25">
      <c r="A6889" t="str">
        <f>"0611835886100"</f>
        <v>0611835886100</v>
      </c>
      <c r="B6889" t="str">
        <f>"LK3270"</f>
        <v>LK3270</v>
      </c>
      <c r="C6889" t="s">
        <v>6729</v>
      </c>
    </row>
    <row r="6890" spans="1:3" x14ac:dyDescent="0.25">
      <c r="A6890" t="str">
        <f>"0611835887025"</f>
        <v>0611835887025</v>
      </c>
      <c r="B6890" t="str">
        <f>"MC1255"</f>
        <v>MC1255</v>
      </c>
      <c r="C6890" t="s">
        <v>6730</v>
      </c>
    </row>
    <row r="6891" spans="1:3" x14ac:dyDescent="0.25">
      <c r="A6891" t="str">
        <f>"0611835888025"</f>
        <v>0611835888025</v>
      </c>
      <c r="B6891" t="str">
        <f>"MC0444"</f>
        <v>MC0444</v>
      </c>
      <c r="C6891" t="s">
        <v>6731</v>
      </c>
    </row>
    <row r="6892" spans="1:3" x14ac:dyDescent="0.25">
      <c r="A6892" t="str">
        <f>"0611835889025"</f>
        <v>0611835889025</v>
      </c>
      <c r="B6892" t="str">
        <f>"MC0445"</f>
        <v>MC0445</v>
      </c>
      <c r="C6892" t="s">
        <v>6732</v>
      </c>
    </row>
    <row r="6893" spans="1:3" x14ac:dyDescent="0.25">
      <c r="A6893" t="str">
        <f>"0611835890025"</f>
        <v>0611835890025</v>
      </c>
      <c r="B6893" t="str">
        <f>"MC3742"</f>
        <v>MC3742</v>
      </c>
      <c r="C6893" t="s">
        <v>6733</v>
      </c>
    </row>
    <row r="6894" spans="1:3" x14ac:dyDescent="0.25">
      <c r="A6894" t="str">
        <f>"0611835891025"</f>
        <v>0611835891025</v>
      </c>
      <c r="B6894" t="str">
        <f>"MC0439"</f>
        <v>MC0439</v>
      </c>
      <c r="C6894" t="s">
        <v>6734</v>
      </c>
    </row>
    <row r="6895" spans="1:3" x14ac:dyDescent="0.25">
      <c r="A6895" t="str">
        <f>"0611835892025"</f>
        <v>0611835892025</v>
      </c>
      <c r="B6895" t="str">
        <f>"MC1254"</f>
        <v>MC1254</v>
      </c>
      <c r="C6895" t="s">
        <v>6735</v>
      </c>
    </row>
    <row r="6896" spans="1:3" x14ac:dyDescent="0.25">
      <c r="A6896" t="str">
        <f>"0611835894025"</f>
        <v>0611835894025</v>
      </c>
      <c r="B6896" t="str">
        <f>"MC2486"</f>
        <v>MC2486</v>
      </c>
      <c r="C6896" t="s">
        <v>6736</v>
      </c>
    </row>
    <row r="6897" spans="1:3" x14ac:dyDescent="0.25">
      <c r="A6897" t="str">
        <f>"0611835895100"</f>
        <v>0611835895100</v>
      </c>
      <c r="B6897" t="str">
        <f>"LK1257"</f>
        <v>LK1257</v>
      </c>
      <c r="C6897" t="s">
        <v>6738</v>
      </c>
    </row>
    <row r="6898" spans="1:3" x14ac:dyDescent="0.25">
      <c r="A6898" t="str">
        <f>"0611835896025"</f>
        <v>0611835896025</v>
      </c>
      <c r="B6898" t="str">
        <f>"MC1688"</f>
        <v>MC1688</v>
      </c>
      <c r="C6898" t="s">
        <v>6739</v>
      </c>
    </row>
    <row r="6899" spans="1:3" x14ac:dyDescent="0.25">
      <c r="A6899" t="str">
        <f>"0611836035100"</f>
        <v>0611836035100</v>
      </c>
      <c r="B6899" t="str">
        <f>"LH4980"</f>
        <v>LH4980</v>
      </c>
      <c r="C6899" t="s">
        <v>7161</v>
      </c>
    </row>
    <row r="6900" spans="1:3" x14ac:dyDescent="0.25">
      <c r="A6900" t="str">
        <f>"0611836036025"</f>
        <v>0611836036025</v>
      </c>
      <c r="B6900" t="str">
        <f>"MC1627"</f>
        <v>MC1627</v>
      </c>
      <c r="C6900" t="s">
        <v>7162</v>
      </c>
    </row>
    <row r="6901" spans="1:3" x14ac:dyDescent="0.25">
      <c r="A6901" t="str">
        <f>"0611862825050"</f>
        <v>0611862825050</v>
      </c>
      <c r="B6901" t="str">
        <f>"CR2970"</f>
        <v>CR2970</v>
      </c>
      <c r="C6901" t="s">
        <v>6740</v>
      </c>
    </row>
    <row r="6902" spans="1:3" x14ac:dyDescent="0.25">
      <c r="A6902" t="str">
        <f>"0611862826050"</f>
        <v>0611862826050</v>
      </c>
      <c r="B6902" t="str">
        <f>"CR4067"</f>
        <v>CR4067</v>
      </c>
      <c r="C6902" t="s">
        <v>6741</v>
      </c>
    </row>
    <row r="6903" spans="1:3" x14ac:dyDescent="0.25">
      <c r="A6903" t="str">
        <f>"0611836037100"</f>
        <v>0611836037100</v>
      </c>
      <c r="B6903" t="str">
        <f>"LK5021"</f>
        <v>LK5021</v>
      </c>
      <c r="C6903" t="s">
        <v>7163</v>
      </c>
    </row>
    <row r="6904" spans="1:3" x14ac:dyDescent="0.25">
      <c r="A6904" t="str">
        <f>"0611836038100"</f>
        <v>0611836038100</v>
      </c>
      <c r="B6904" t="str">
        <f>"LK5022"</f>
        <v>LK5022</v>
      </c>
      <c r="C6904" t="s">
        <v>7164</v>
      </c>
    </row>
    <row r="6905" spans="1:3" x14ac:dyDescent="0.25">
      <c r="A6905" t="str">
        <f>"0611836039100"</f>
        <v>0611836039100</v>
      </c>
      <c r="B6905" t="str">
        <f>"LK6517"</f>
        <v>LK6517</v>
      </c>
      <c r="C6905" t="s">
        <v>7165</v>
      </c>
    </row>
    <row r="6906" spans="1:3" x14ac:dyDescent="0.25">
      <c r="A6906" t="str">
        <f>"0611836040100"</f>
        <v>0611836040100</v>
      </c>
      <c r="B6906" t="str">
        <f>"LK2888"</f>
        <v>LK2888</v>
      </c>
      <c r="C6906" t="s">
        <v>7166</v>
      </c>
    </row>
    <row r="6907" spans="1:3" x14ac:dyDescent="0.25">
      <c r="A6907" t="str">
        <f>"0611836043025"</f>
        <v>0611836043025</v>
      </c>
      <c r="B6907" t="str">
        <f>"MC4220"</f>
        <v>MC4220</v>
      </c>
      <c r="C6907" t="s">
        <v>7167</v>
      </c>
    </row>
    <row r="6908" spans="1:3" x14ac:dyDescent="0.25">
      <c r="A6908" t="str">
        <f>"0611835897100"</f>
        <v>0611835897100</v>
      </c>
      <c r="B6908" t="str">
        <f>"LK5480"</f>
        <v>LK5480</v>
      </c>
      <c r="C6908" t="s">
        <v>6742</v>
      </c>
    </row>
    <row r="6909" spans="1:3" x14ac:dyDescent="0.25">
      <c r="A6909" t="str">
        <f>"0611834791100"</f>
        <v>0611834791100</v>
      </c>
      <c r="B6909" t="str">
        <f>"LH6003"</f>
        <v>LH6003</v>
      </c>
      <c r="C6909" t="s">
        <v>6743</v>
      </c>
    </row>
    <row r="6910" spans="1:3" x14ac:dyDescent="0.25">
      <c r="A6910" t="str">
        <f>"0611834792025"</f>
        <v>0611834792025</v>
      </c>
      <c r="B6910" t="str">
        <f>"MC3183"</f>
        <v>MC3183</v>
      </c>
      <c r="C6910" t="s">
        <v>6744</v>
      </c>
    </row>
    <row r="6911" spans="1:3" x14ac:dyDescent="0.25">
      <c r="A6911" t="str">
        <f>"0611834793025"</f>
        <v>0611834793025</v>
      </c>
      <c r="B6911" t="str">
        <f>"MC3295"</f>
        <v>MC3295</v>
      </c>
      <c r="C6911" t="s">
        <v>6745</v>
      </c>
    </row>
    <row r="6912" spans="1:3" x14ac:dyDescent="0.25">
      <c r="A6912" t="str">
        <f>"0611834794025"</f>
        <v>0611834794025</v>
      </c>
      <c r="B6912" t="str">
        <f>"MC3188"</f>
        <v>MC3188</v>
      </c>
      <c r="C6912" t="s">
        <v>6746</v>
      </c>
    </row>
    <row r="6913" spans="1:3" x14ac:dyDescent="0.25">
      <c r="A6913" t="str">
        <f>"0611834795100"</f>
        <v>0611834795100</v>
      </c>
      <c r="B6913" t="str">
        <f>"LH5100"</f>
        <v>LH5100</v>
      </c>
      <c r="C6913" t="s">
        <v>6747</v>
      </c>
    </row>
    <row r="6914" spans="1:3" x14ac:dyDescent="0.25">
      <c r="A6914" t="str">
        <f>"0611834796025"</f>
        <v>0611834796025</v>
      </c>
      <c r="B6914" t="str">
        <f>"MC3294"</f>
        <v>MC3294</v>
      </c>
      <c r="C6914" t="s">
        <v>6748</v>
      </c>
    </row>
    <row r="6915" spans="1:3" x14ac:dyDescent="0.25">
      <c r="A6915" t="str">
        <f>"0611834824025"</f>
        <v>0611834824025</v>
      </c>
      <c r="B6915" t="str">
        <f>"MC3296"</f>
        <v>MC3296</v>
      </c>
      <c r="C6915" t="s">
        <v>6749</v>
      </c>
    </row>
    <row r="6916" spans="1:3" x14ac:dyDescent="0.25">
      <c r="A6916" t="str">
        <f>"0611834797025"</f>
        <v>0611834797025</v>
      </c>
      <c r="B6916" t="str">
        <f>"MC3418"</f>
        <v>MC3418</v>
      </c>
      <c r="C6916" t="s">
        <v>6750</v>
      </c>
    </row>
    <row r="6917" spans="1:3" x14ac:dyDescent="0.25">
      <c r="A6917" t="str">
        <f>"0611834798025"</f>
        <v>0611834798025</v>
      </c>
      <c r="B6917" t="str">
        <f>"MC3297"</f>
        <v>MC3297</v>
      </c>
      <c r="C6917" t="s">
        <v>6751</v>
      </c>
    </row>
    <row r="6918" spans="1:3" x14ac:dyDescent="0.25">
      <c r="A6918" t="str">
        <f>"0611835898100"</f>
        <v>0611835898100</v>
      </c>
      <c r="B6918" t="str">
        <f>"LF4120"</f>
        <v>LF4120</v>
      </c>
      <c r="C6918" t="s">
        <v>6752</v>
      </c>
    </row>
    <row r="6919" spans="1:3" x14ac:dyDescent="0.25">
      <c r="A6919" t="str">
        <f>"0611835899100"</f>
        <v>0611835899100</v>
      </c>
      <c r="B6919" t="str">
        <f>"LF9104"</f>
        <v>LF9104</v>
      </c>
      <c r="C6919" t="s">
        <v>6753</v>
      </c>
    </row>
    <row r="6920" spans="1:3" x14ac:dyDescent="0.25">
      <c r="A6920" t="str">
        <f>"0611862827100"</f>
        <v>0611862827100</v>
      </c>
      <c r="B6920" t="str">
        <f>"CN2326"</f>
        <v>CN2326</v>
      </c>
      <c r="C6920" t="s">
        <v>6754</v>
      </c>
    </row>
    <row r="6921" spans="1:3" x14ac:dyDescent="0.25">
      <c r="A6921" t="str">
        <f>"0611862830100"</f>
        <v>0611862830100</v>
      </c>
      <c r="B6921" t="str">
        <f>"CN2332"</f>
        <v>CN2332</v>
      </c>
      <c r="C6921" t="s">
        <v>6756</v>
      </c>
    </row>
    <row r="6922" spans="1:3" x14ac:dyDescent="0.25">
      <c r="A6922" t="str">
        <f>"0611862832100"</f>
        <v>0611862832100</v>
      </c>
      <c r="B6922" t="str">
        <f>"CN2273"</f>
        <v>CN2273</v>
      </c>
      <c r="C6922" t="s">
        <v>6757</v>
      </c>
    </row>
    <row r="6923" spans="1:3" x14ac:dyDescent="0.25">
      <c r="A6923" t="str">
        <f>"0611862834100"</f>
        <v>0611862834100</v>
      </c>
      <c r="B6923" t="str">
        <f>"CN2203"</f>
        <v>CN2203</v>
      </c>
      <c r="C6923" t="s">
        <v>6758</v>
      </c>
    </row>
    <row r="6924" spans="1:3" x14ac:dyDescent="0.25">
      <c r="A6924" t="str">
        <f>"0611862836100"</f>
        <v>0611862836100</v>
      </c>
      <c r="B6924" t="str">
        <f>"CN2283"</f>
        <v>CN2283</v>
      </c>
      <c r="C6924" t="s">
        <v>6766</v>
      </c>
    </row>
    <row r="6925" spans="1:3" x14ac:dyDescent="0.25">
      <c r="A6925" t="str">
        <f>"0611862837100"</f>
        <v>0611862837100</v>
      </c>
      <c r="B6925" t="str">
        <f>"CN2284"</f>
        <v>CN2284</v>
      </c>
      <c r="C6925" t="s">
        <v>6767</v>
      </c>
    </row>
    <row r="6926" spans="1:3" x14ac:dyDescent="0.25">
      <c r="A6926" t="str">
        <f>"0611862838100"</f>
        <v>0611862838100</v>
      </c>
      <c r="B6926" t="str">
        <f>"CN2282"</f>
        <v>CN2282</v>
      </c>
      <c r="C6926" t="s">
        <v>6768</v>
      </c>
    </row>
    <row r="6927" spans="1:3" x14ac:dyDescent="0.25">
      <c r="A6927" t="str">
        <f>"0611862839100"</f>
        <v>0611862839100</v>
      </c>
      <c r="B6927" t="str">
        <f>"CN2285"</f>
        <v>CN2285</v>
      </c>
      <c r="C6927" t="s">
        <v>6769</v>
      </c>
    </row>
    <row r="6928" spans="1:3" x14ac:dyDescent="0.25">
      <c r="A6928" t="str">
        <f>"0611862841100"</f>
        <v>0611862841100</v>
      </c>
      <c r="B6928" t="str">
        <f>"CN2280"</f>
        <v>CN2280</v>
      </c>
      <c r="C6928" t="s">
        <v>6770</v>
      </c>
    </row>
    <row r="6929" spans="1:3" x14ac:dyDescent="0.25">
      <c r="A6929" t="str">
        <f>"0611862842100"</f>
        <v>0611862842100</v>
      </c>
      <c r="B6929" t="str">
        <f>"CN2279"</f>
        <v>CN2279</v>
      </c>
      <c r="C6929" t="s">
        <v>6771</v>
      </c>
    </row>
    <row r="6930" spans="1:3" x14ac:dyDescent="0.25">
      <c r="A6930" t="str">
        <f>"0611862843100"</f>
        <v>0611862843100</v>
      </c>
      <c r="B6930" t="str">
        <f>"CN2278"</f>
        <v>CN2278</v>
      </c>
      <c r="C6930" t="s">
        <v>6772</v>
      </c>
    </row>
    <row r="6931" spans="1:3" x14ac:dyDescent="0.25">
      <c r="A6931" t="str">
        <f>"0611862844100"</f>
        <v>0611862844100</v>
      </c>
      <c r="B6931" t="str">
        <f>"CN2281"</f>
        <v>CN2281</v>
      </c>
      <c r="C6931" t="s">
        <v>6773</v>
      </c>
    </row>
    <row r="6932" spans="1:3" x14ac:dyDescent="0.25">
      <c r="A6932" t="str">
        <f>"0611862845100"</f>
        <v>0611862845100</v>
      </c>
      <c r="B6932" t="str">
        <f>"CN2297"</f>
        <v>CN2297</v>
      </c>
      <c r="C6932" t="s">
        <v>6774</v>
      </c>
    </row>
    <row r="6933" spans="1:3" x14ac:dyDescent="0.25">
      <c r="A6933" t="str">
        <f>"0611862846100"</f>
        <v>0611862846100</v>
      </c>
      <c r="B6933" t="str">
        <f>"CN2287"</f>
        <v>CN2287</v>
      </c>
      <c r="C6933" t="s">
        <v>6775</v>
      </c>
    </row>
    <row r="6934" spans="1:3" x14ac:dyDescent="0.25">
      <c r="A6934" t="str">
        <f>"0611862847100"</f>
        <v>0611862847100</v>
      </c>
      <c r="B6934" t="str">
        <f>"CN2286"</f>
        <v>CN2286</v>
      </c>
      <c r="C6934" t="s">
        <v>6776</v>
      </c>
    </row>
    <row r="6935" spans="1:3" x14ac:dyDescent="0.25">
      <c r="A6935" t="str">
        <f>"0611862848100"</f>
        <v>0611862848100</v>
      </c>
      <c r="B6935" t="str">
        <f>"CN2289"</f>
        <v>CN2289</v>
      </c>
      <c r="C6935" t="s">
        <v>6777</v>
      </c>
    </row>
    <row r="6936" spans="1:3" x14ac:dyDescent="0.25">
      <c r="A6936" t="str">
        <f>"0611862849100"</f>
        <v>0611862849100</v>
      </c>
      <c r="B6936" t="str">
        <f>"CN2288"</f>
        <v>CN2288</v>
      </c>
      <c r="C6936" t="s">
        <v>6778</v>
      </c>
    </row>
    <row r="6937" spans="1:3" x14ac:dyDescent="0.25">
      <c r="A6937" t="str">
        <f>"0611862850100"</f>
        <v>0611862850100</v>
      </c>
      <c r="B6937" t="str">
        <f>"CN2293"</f>
        <v>CN2293</v>
      </c>
      <c r="C6937" t="s">
        <v>6779</v>
      </c>
    </row>
    <row r="6938" spans="1:3" x14ac:dyDescent="0.25">
      <c r="A6938" t="str">
        <f>"0611906576100"</f>
        <v>0611906576100</v>
      </c>
      <c r="B6938" t="str">
        <f>"CN2488"</f>
        <v>CN2488</v>
      </c>
      <c r="C6938" t="s">
        <v>6759</v>
      </c>
    </row>
    <row r="6939" spans="1:3" x14ac:dyDescent="0.25">
      <c r="A6939" t="str">
        <f>"0611884270100"</f>
        <v>0611884270100</v>
      </c>
      <c r="B6939" t="str">
        <f>"CN2420"</f>
        <v>CN2420</v>
      </c>
      <c r="C6939" t="s">
        <v>6780</v>
      </c>
    </row>
    <row r="6940" spans="1:3" x14ac:dyDescent="0.25">
      <c r="A6940" t="str">
        <f>"0611893611100"</f>
        <v>0611893611100</v>
      </c>
      <c r="B6940" t="str">
        <f>"CN2421"</f>
        <v>CN2421</v>
      </c>
      <c r="C6940" t="s">
        <v>6781</v>
      </c>
    </row>
    <row r="6941" spans="1:3" x14ac:dyDescent="0.25">
      <c r="A6941" t="str">
        <f>"0611906577100"</f>
        <v>0611906577100</v>
      </c>
      <c r="B6941" t="str">
        <f>"CN2489"</f>
        <v>CN2489</v>
      </c>
      <c r="C6941" t="s">
        <v>6760</v>
      </c>
    </row>
    <row r="6942" spans="1:3" x14ac:dyDescent="0.25">
      <c r="A6942" t="str">
        <f>"0611862851100"</f>
        <v>0611862851100</v>
      </c>
      <c r="B6942" t="str">
        <f>"CN2294"</f>
        <v>CN2294</v>
      </c>
      <c r="C6942" t="s">
        <v>6782</v>
      </c>
    </row>
    <row r="6943" spans="1:3" x14ac:dyDescent="0.25">
      <c r="A6943" t="str">
        <f>"0611884271100"</f>
        <v>0611884271100</v>
      </c>
      <c r="B6943" t="str">
        <f>"CN2418"</f>
        <v>CN2418</v>
      </c>
      <c r="C6943" t="s">
        <v>6783</v>
      </c>
    </row>
    <row r="6944" spans="1:3" x14ac:dyDescent="0.25">
      <c r="A6944" t="str">
        <f>"0611906578100"</f>
        <v>0611906578100</v>
      </c>
      <c r="B6944" t="str">
        <f>"CN2485"</f>
        <v>CN2485</v>
      </c>
      <c r="C6944" t="s">
        <v>6761</v>
      </c>
    </row>
    <row r="6945" spans="1:3" x14ac:dyDescent="0.25">
      <c r="A6945" t="str">
        <f>"0611906579100"</f>
        <v>0611906579100</v>
      </c>
      <c r="B6945" t="str">
        <f>"CN2490"</f>
        <v>CN2490</v>
      </c>
      <c r="C6945" t="s">
        <v>6762</v>
      </c>
    </row>
    <row r="6946" spans="1:3" x14ac:dyDescent="0.25">
      <c r="A6946" t="str">
        <f>"0611862852100"</f>
        <v>0611862852100</v>
      </c>
      <c r="B6946" t="str">
        <f>"CN2292"</f>
        <v>CN2292</v>
      </c>
      <c r="C6946" t="s">
        <v>6784</v>
      </c>
    </row>
    <row r="6947" spans="1:3" x14ac:dyDescent="0.25">
      <c r="A6947" t="str">
        <f>"0611906580100"</f>
        <v>0611906580100</v>
      </c>
      <c r="B6947" t="str">
        <f>"CN2491"</f>
        <v>CN2491</v>
      </c>
      <c r="C6947" t="s">
        <v>6763</v>
      </c>
    </row>
    <row r="6948" spans="1:3" x14ac:dyDescent="0.25">
      <c r="A6948" t="str">
        <f>"0611862853100"</f>
        <v>0611862853100</v>
      </c>
      <c r="B6948" t="str">
        <f>"CN2291"</f>
        <v>CN2291</v>
      </c>
      <c r="C6948" t="s">
        <v>6785</v>
      </c>
    </row>
    <row r="6949" spans="1:3" x14ac:dyDescent="0.25">
      <c r="A6949" t="str">
        <f>"0611906581100"</f>
        <v>0611906581100</v>
      </c>
      <c r="B6949" t="str">
        <f>"CN2486"</f>
        <v>CN2486</v>
      </c>
      <c r="C6949" t="s">
        <v>6764</v>
      </c>
    </row>
    <row r="6950" spans="1:3" x14ac:dyDescent="0.25">
      <c r="A6950" t="str">
        <f>"0611862854100"</f>
        <v>0611862854100</v>
      </c>
      <c r="B6950" t="str">
        <f>"CN2290"</f>
        <v>CN2290</v>
      </c>
      <c r="C6950" t="s">
        <v>6786</v>
      </c>
    </row>
    <row r="6951" spans="1:3" x14ac:dyDescent="0.25">
      <c r="A6951" t="str">
        <f>"0611906582100"</f>
        <v>0611906582100</v>
      </c>
      <c r="B6951" t="str">
        <f>"CN2487"</f>
        <v>CN2487</v>
      </c>
      <c r="C6951" t="s">
        <v>6765</v>
      </c>
    </row>
    <row r="6952" spans="1:3" x14ac:dyDescent="0.25">
      <c r="A6952" t="str">
        <f>"0611884272100"</f>
        <v>0611884272100</v>
      </c>
      <c r="B6952" t="str">
        <f>"CN2419"</f>
        <v>CN2419</v>
      </c>
      <c r="C6952" t="s">
        <v>6787</v>
      </c>
    </row>
    <row r="6953" spans="1:3" x14ac:dyDescent="0.25">
      <c r="A6953" t="str">
        <f>"0611862856100"</f>
        <v>0611862856100</v>
      </c>
      <c r="B6953" t="str">
        <f>"CN2220"</f>
        <v>CN2220</v>
      </c>
      <c r="C6953" t="s">
        <v>6788</v>
      </c>
    </row>
    <row r="6954" spans="1:3" x14ac:dyDescent="0.25">
      <c r="A6954" t="str">
        <f>"0611862857100"</f>
        <v>0611862857100</v>
      </c>
      <c r="B6954" t="str">
        <f>"CN2229"</f>
        <v>CN2229</v>
      </c>
      <c r="C6954" t="s">
        <v>6789</v>
      </c>
    </row>
    <row r="6955" spans="1:3" x14ac:dyDescent="0.25">
      <c r="A6955" t="str">
        <f>"0611862859100"</f>
        <v>0611862859100</v>
      </c>
      <c r="B6955" t="str">
        <f>"CN2396"</f>
        <v>CN2396</v>
      </c>
      <c r="C6955" t="s">
        <v>6790</v>
      </c>
    </row>
    <row r="6956" spans="1:3" x14ac:dyDescent="0.25">
      <c r="A6956" t="str">
        <f>"0611862860100"</f>
        <v>0611862860100</v>
      </c>
      <c r="B6956" t="str">
        <f>"CN2185"</f>
        <v>CN2185</v>
      </c>
      <c r="C6956" t="s">
        <v>6791</v>
      </c>
    </row>
    <row r="6957" spans="1:3" x14ac:dyDescent="0.25">
      <c r="A6957" t="str">
        <f>"0611862862100"</f>
        <v>0611862862100</v>
      </c>
      <c r="B6957" t="str">
        <f>"CN2205"</f>
        <v>CN2205</v>
      </c>
      <c r="C6957" t="s">
        <v>6792</v>
      </c>
    </row>
    <row r="6958" spans="1:3" x14ac:dyDescent="0.25">
      <c r="A6958" t="str">
        <f>"0611862864100"</f>
        <v>0611862864100</v>
      </c>
      <c r="B6958" t="str">
        <f>"CN2206"</f>
        <v>CN2206</v>
      </c>
      <c r="C6958" t="s">
        <v>6793</v>
      </c>
    </row>
    <row r="6959" spans="1:3" x14ac:dyDescent="0.25">
      <c r="A6959" t="str">
        <f>"0611835901100"</f>
        <v>0611835901100</v>
      </c>
      <c r="B6959" t="str">
        <f>"LG8037"</f>
        <v>LG8037</v>
      </c>
      <c r="C6959" t="s">
        <v>6794</v>
      </c>
    </row>
    <row r="6960" spans="1:3" x14ac:dyDescent="0.25">
      <c r="A6960" t="str">
        <f>"0611884273100"</f>
        <v>0611884273100</v>
      </c>
      <c r="B6960" t="str">
        <f>"LF9106"</f>
        <v>LF9106</v>
      </c>
      <c r="C6960" t="s">
        <v>6795</v>
      </c>
    </row>
    <row r="6961" spans="1:3" x14ac:dyDescent="0.25">
      <c r="A6961" t="str">
        <f>"0611862868100"</f>
        <v>0611862868100</v>
      </c>
      <c r="B6961" t="str">
        <f>"CN2153"</f>
        <v>CN2153</v>
      </c>
      <c r="C6961" t="s">
        <v>6796</v>
      </c>
    </row>
    <row r="6962" spans="1:3" x14ac:dyDescent="0.25">
      <c r="A6962" t="str">
        <f>"0611862869100"</f>
        <v>0611862869100</v>
      </c>
      <c r="B6962" t="str">
        <f>"CN2398"</f>
        <v>CN2398</v>
      </c>
      <c r="C6962" t="s">
        <v>6797</v>
      </c>
    </row>
    <row r="6963" spans="1:3" x14ac:dyDescent="0.25">
      <c r="A6963" t="str">
        <f>"0611835903100"</f>
        <v>0611835903100</v>
      </c>
      <c r="B6963" t="str">
        <f>"LG8038"</f>
        <v>LG8038</v>
      </c>
      <c r="C6963" t="s">
        <v>6798</v>
      </c>
    </row>
    <row r="6964" spans="1:3" x14ac:dyDescent="0.25">
      <c r="A6964" t="str">
        <f>"0611862870100"</f>
        <v>0611862870100</v>
      </c>
      <c r="B6964" t="str">
        <f>"CN2197"</f>
        <v>CN2197</v>
      </c>
      <c r="C6964" t="s">
        <v>6799</v>
      </c>
    </row>
    <row r="6965" spans="1:3" x14ac:dyDescent="0.25">
      <c r="A6965" t="str">
        <f>"0611862872100"</f>
        <v>0611862872100</v>
      </c>
      <c r="B6965" t="str">
        <f>"CN2274"</f>
        <v>CN2274</v>
      </c>
      <c r="C6965" t="s">
        <v>6800</v>
      </c>
    </row>
    <row r="6966" spans="1:3" x14ac:dyDescent="0.25">
      <c r="A6966" t="str">
        <f>"0611862873100"</f>
        <v>0611862873100</v>
      </c>
      <c r="B6966" t="str">
        <f>"CN2155"</f>
        <v>CN2155</v>
      </c>
      <c r="C6966" t="s">
        <v>6801</v>
      </c>
    </row>
    <row r="6967" spans="1:3" x14ac:dyDescent="0.25">
      <c r="A6967" t="str">
        <f>"0611862875100"</f>
        <v>0611862875100</v>
      </c>
      <c r="B6967" t="str">
        <f>"CN2221"</f>
        <v>CN2221</v>
      </c>
      <c r="C6967" t="s">
        <v>6802</v>
      </c>
    </row>
    <row r="6968" spans="1:3" x14ac:dyDescent="0.25">
      <c r="A6968" t="str">
        <f>"0611857008100"</f>
        <v>0611857008100</v>
      </c>
      <c r="B6968" t="str">
        <f>"LG4105"</f>
        <v>LG4105</v>
      </c>
      <c r="C6968" t="s">
        <v>6803</v>
      </c>
    </row>
    <row r="6969" spans="1:3" x14ac:dyDescent="0.25">
      <c r="A6969" t="str">
        <f>"0611835904100"</f>
        <v>0611835904100</v>
      </c>
      <c r="B6969" t="str">
        <f>"LK0212"</f>
        <v>LK0212</v>
      </c>
      <c r="C6969" t="s">
        <v>6804</v>
      </c>
    </row>
    <row r="6970" spans="1:3" x14ac:dyDescent="0.25">
      <c r="A6970" t="str">
        <f>"0611862828100"</f>
        <v>0611862828100</v>
      </c>
      <c r="B6970" t="str">
        <f>"CN2183"</f>
        <v>CN2183</v>
      </c>
      <c r="C6970" t="s">
        <v>6755</v>
      </c>
    </row>
    <row r="6971" spans="1:3" x14ac:dyDescent="0.25">
      <c r="A6971" t="str">
        <f>"0611862877100"</f>
        <v>0611862877100</v>
      </c>
      <c r="B6971" t="str">
        <f>"CN2157"</f>
        <v>CN2157</v>
      </c>
      <c r="C6971" t="s">
        <v>6805</v>
      </c>
    </row>
    <row r="6972" spans="1:3" x14ac:dyDescent="0.25">
      <c r="A6972" t="str">
        <f>"0611862878100"</f>
        <v>0611862878100</v>
      </c>
      <c r="B6972" t="str">
        <f>"CN2207"</f>
        <v>CN2207</v>
      </c>
      <c r="C6972" t="s">
        <v>6806</v>
      </c>
    </row>
    <row r="6973" spans="1:3" x14ac:dyDescent="0.25">
      <c r="A6973" t="str">
        <f>"0611862879100"</f>
        <v>0611862879100</v>
      </c>
      <c r="B6973" t="str">
        <f>"CN2158"</f>
        <v>CN2158</v>
      </c>
      <c r="C6973" t="s">
        <v>6807</v>
      </c>
    </row>
    <row r="6974" spans="1:3" x14ac:dyDescent="0.25">
      <c r="A6974" t="str">
        <f>"0611884274100"</f>
        <v>0611884274100</v>
      </c>
      <c r="B6974" t="str">
        <f>"LG1002"</f>
        <v>LG1002</v>
      </c>
      <c r="C6974" t="s">
        <v>12156</v>
      </c>
    </row>
    <row r="6975" spans="1:3" x14ac:dyDescent="0.25">
      <c r="A6975" t="str">
        <f>"0611862880100"</f>
        <v>0611862880100</v>
      </c>
      <c r="B6975" t="str">
        <f>"CN2159"</f>
        <v>CN2159</v>
      </c>
      <c r="C6975" t="s">
        <v>6808</v>
      </c>
    </row>
    <row r="6976" spans="1:3" x14ac:dyDescent="0.25">
      <c r="A6976" t="str">
        <f>"0611862881100"</f>
        <v>0611862881100</v>
      </c>
      <c r="B6976" t="str">
        <f>"CN2161"</f>
        <v>CN2161</v>
      </c>
      <c r="C6976" t="s">
        <v>6809</v>
      </c>
    </row>
    <row r="6977" spans="1:3" x14ac:dyDescent="0.25">
      <c r="A6977" t="str">
        <f>"0611862882100"</f>
        <v>0611862882100</v>
      </c>
      <c r="B6977" t="str">
        <f>"CN2179"</f>
        <v>CN2179</v>
      </c>
      <c r="C6977" t="s">
        <v>6810</v>
      </c>
    </row>
    <row r="6978" spans="1:3" x14ac:dyDescent="0.25">
      <c r="A6978" t="str">
        <f>"0611862883100"</f>
        <v>0611862883100</v>
      </c>
      <c r="B6978" t="str">
        <f>"CN2162"</f>
        <v>CN2162</v>
      </c>
      <c r="C6978" t="s">
        <v>6811</v>
      </c>
    </row>
    <row r="6979" spans="1:3" x14ac:dyDescent="0.25">
      <c r="A6979" t="str">
        <f>"0611862884100"</f>
        <v>0611862884100</v>
      </c>
      <c r="B6979" t="str">
        <f>"CN2163"</f>
        <v>CN2163</v>
      </c>
      <c r="C6979" t="s">
        <v>6812</v>
      </c>
    </row>
    <row r="6980" spans="1:3" x14ac:dyDescent="0.25">
      <c r="A6980" t="str">
        <f>"0611862885100"</f>
        <v>0611862885100</v>
      </c>
      <c r="B6980" t="str">
        <f>"CN2189"</f>
        <v>CN2189</v>
      </c>
      <c r="C6980" t="s">
        <v>6813</v>
      </c>
    </row>
    <row r="6981" spans="1:3" x14ac:dyDescent="0.25">
      <c r="A6981" t="str">
        <f>"0611862886100"</f>
        <v>0611862886100</v>
      </c>
      <c r="B6981" t="str">
        <f>"CN2334"</f>
        <v>CN2334</v>
      </c>
      <c r="C6981" t="s">
        <v>6814</v>
      </c>
    </row>
    <row r="6982" spans="1:3" x14ac:dyDescent="0.25">
      <c r="A6982" t="str">
        <f>"0611862887100"</f>
        <v>0611862887100</v>
      </c>
      <c r="B6982" t="str">
        <f>"CN2164"</f>
        <v>CN2164</v>
      </c>
      <c r="C6982" t="s">
        <v>6815</v>
      </c>
    </row>
    <row r="6983" spans="1:3" x14ac:dyDescent="0.25">
      <c r="A6983" t="str">
        <f>"0611862888100"</f>
        <v>0611862888100</v>
      </c>
      <c r="B6983" t="str">
        <f>"CN2165"</f>
        <v>CN2165</v>
      </c>
      <c r="C6983" t="s">
        <v>6816</v>
      </c>
    </row>
    <row r="6984" spans="1:3" x14ac:dyDescent="0.25">
      <c r="A6984" t="str">
        <f>"0611862890100"</f>
        <v>0611862890100</v>
      </c>
      <c r="B6984" t="str">
        <f>"CN2226"</f>
        <v>CN2226</v>
      </c>
      <c r="C6984" t="s">
        <v>6817</v>
      </c>
    </row>
    <row r="6985" spans="1:3" x14ac:dyDescent="0.25">
      <c r="A6985" t="str">
        <f>"0611862892100"</f>
        <v>0611862892100</v>
      </c>
      <c r="B6985" t="str">
        <f>"CN2209"</f>
        <v>CN2209</v>
      </c>
      <c r="C6985" t="s">
        <v>6818</v>
      </c>
    </row>
    <row r="6986" spans="1:3" x14ac:dyDescent="0.25">
      <c r="A6986" t="str">
        <f>"0611862894100"</f>
        <v>0611862894100</v>
      </c>
      <c r="B6986" t="str">
        <f>"CN2176"</f>
        <v>CN2176</v>
      </c>
      <c r="C6986" t="s">
        <v>6819</v>
      </c>
    </row>
    <row r="6987" spans="1:3" x14ac:dyDescent="0.25">
      <c r="A6987" t="str">
        <f>"0611862895100"</f>
        <v>0611862895100</v>
      </c>
      <c r="B6987" t="str">
        <f>"CN2210"</f>
        <v>CN2210</v>
      </c>
      <c r="C6987" t="s">
        <v>6820</v>
      </c>
    </row>
    <row r="6988" spans="1:3" x14ac:dyDescent="0.25">
      <c r="A6988" t="str">
        <f>"0611862896100"</f>
        <v>0611862896100</v>
      </c>
      <c r="B6988" t="str">
        <f>"CN2167"</f>
        <v>CN2167</v>
      </c>
      <c r="C6988" t="s">
        <v>6821</v>
      </c>
    </row>
    <row r="6989" spans="1:3" x14ac:dyDescent="0.25">
      <c r="A6989" t="str">
        <f>"0611862899100"</f>
        <v>0611862899100</v>
      </c>
      <c r="B6989" t="str">
        <f>"CN2212"</f>
        <v>CN2212</v>
      </c>
      <c r="C6989" t="s">
        <v>6822</v>
      </c>
    </row>
    <row r="6990" spans="1:3" x14ac:dyDescent="0.25">
      <c r="A6990" t="str">
        <f>"0611862900100"</f>
        <v>0611862900100</v>
      </c>
      <c r="B6990" t="str">
        <f>"CN2327"</f>
        <v>CN2327</v>
      </c>
      <c r="C6990" t="s">
        <v>6823</v>
      </c>
    </row>
    <row r="6991" spans="1:3" x14ac:dyDescent="0.25">
      <c r="A6991" t="str">
        <f>"0611862901100"</f>
        <v>0611862901100</v>
      </c>
      <c r="B6991" t="str">
        <f>"CN2231"</f>
        <v>CN2231</v>
      </c>
      <c r="C6991" t="s">
        <v>6824</v>
      </c>
    </row>
    <row r="6992" spans="1:3" x14ac:dyDescent="0.25">
      <c r="A6992" t="str">
        <f>"0611862902100"</f>
        <v>0611862902100</v>
      </c>
      <c r="B6992" t="str">
        <f>"CN2222"</f>
        <v>CN2222</v>
      </c>
      <c r="C6992" t="s">
        <v>6825</v>
      </c>
    </row>
    <row r="6993" spans="1:3" x14ac:dyDescent="0.25">
      <c r="A6993" t="str">
        <f>"0611862903100"</f>
        <v>0611862903100</v>
      </c>
      <c r="B6993" t="str">
        <f>"CN2202"</f>
        <v>CN2202</v>
      </c>
      <c r="C6993" t="s">
        <v>6826</v>
      </c>
    </row>
    <row r="6994" spans="1:3" x14ac:dyDescent="0.25">
      <c r="A6994" t="str">
        <f>"0611862904100"</f>
        <v>0611862904100</v>
      </c>
      <c r="B6994" t="str">
        <f>"CN2227"</f>
        <v>CN2227</v>
      </c>
      <c r="C6994" t="s">
        <v>6827</v>
      </c>
    </row>
    <row r="6995" spans="1:3" x14ac:dyDescent="0.25">
      <c r="A6995" t="str">
        <f>"0611835905100"</f>
        <v>0611835905100</v>
      </c>
      <c r="B6995" t="str">
        <f>"LG8041"</f>
        <v>LG8041</v>
      </c>
      <c r="C6995" t="s">
        <v>6828</v>
      </c>
    </row>
    <row r="6996" spans="1:3" x14ac:dyDescent="0.25">
      <c r="A6996" t="str">
        <f>"0611862905100"</f>
        <v>0611862905100</v>
      </c>
      <c r="B6996" t="str">
        <f>"CN2298"</f>
        <v>CN2298</v>
      </c>
      <c r="C6996" t="s">
        <v>6829</v>
      </c>
    </row>
    <row r="6997" spans="1:3" x14ac:dyDescent="0.25">
      <c r="A6997" t="str">
        <f>"0611862906100"</f>
        <v>0611862906100</v>
      </c>
      <c r="B6997" t="str">
        <f>"CN2168"</f>
        <v>CN2168</v>
      </c>
      <c r="C6997" t="s">
        <v>6830</v>
      </c>
    </row>
    <row r="6998" spans="1:3" x14ac:dyDescent="0.25">
      <c r="A6998" t="str">
        <f>"0611862907100"</f>
        <v>0611862907100</v>
      </c>
      <c r="B6998" t="str">
        <f>"CN2169"</f>
        <v>CN2169</v>
      </c>
      <c r="C6998" t="s">
        <v>6831</v>
      </c>
    </row>
    <row r="6999" spans="1:3" x14ac:dyDescent="0.25">
      <c r="A6999" t="str">
        <f>"0611862908100"</f>
        <v>0611862908100</v>
      </c>
      <c r="B6999" t="str">
        <f>"CN2192"</f>
        <v>CN2192</v>
      </c>
      <c r="C6999" t="s">
        <v>6832</v>
      </c>
    </row>
    <row r="7000" spans="1:3" x14ac:dyDescent="0.25">
      <c r="A7000" t="str">
        <f>"0611862911100"</f>
        <v>0611862911100</v>
      </c>
      <c r="B7000" t="str">
        <f>"CN2299"</f>
        <v>CN2299</v>
      </c>
      <c r="C7000" t="s">
        <v>6833</v>
      </c>
    </row>
    <row r="7001" spans="1:3" x14ac:dyDescent="0.25">
      <c r="A7001" t="str">
        <f>"0611862912100"</f>
        <v>0611862912100</v>
      </c>
      <c r="B7001" t="str">
        <f>"CN2180"</f>
        <v>CN2180</v>
      </c>
      <c r="C7001" t="s">
        <v>6834</v>
      </c>
    </row>
    <row r="7002" spans="1:3" x14ac:dyDescent="0.25">
      <c r="A7002" t="str">
        <f>"0611862913100"</f>
        <v>0611862913100</v>
      </c>
      <c r="B7002" t="str">
        <f>"CN2170"</f>
        <v>CN2170</v>
      </c>
      <c r="C7002" t="s">
        <v>6835</v>
      </c>
    </row>
    <row r="7003" spans="1:3" x14ac:dyDescent="0.25">
      <c r="A7003" t="str">
        <f>"0611862914100"</f>
        <v>0611862914100</v>
      </c>
      <c r="B7003" t="str">
        <f>"CN2181"</f>
        <v>CN2181</v>
      </c>
      <c r="C7003" t="s">
        <v>6836</v>
      </c>
    </row>
    <row r="7004" spans="1:3" x14ac:dyDescent="0.25">
      <c r="A7004" t="str">
        <f>"0611862915100"</f>
        <v>0611862915100</v>
      </c>
      <c r="B7004" t="str">
        <f>"CN2215"</f>
        <v>CN2215</v>
      </c>
      <c r="C7004" t="s">
        <v>6837</v>
      </c>
    </row>
    <row r="7005" spans="1:3" x14ac:dyDescent="0.25">
      <c r="A7005" t="str">
        <f>"0611862916100"</f>
        <v>0611862916100</v>
      </c>
      <c r="B7005" t="str">
        <f>"CN2186"</f>
        <v>CN2186</v>
      </c>
      <c r="C7005" t="s">
        <v>6838</v>
      </c>
    </row>
    <row r="7006" spans="1:3" x14ac:dyDescent="0.25">
      <c r="A7006" t="str">
        <f>"0611884275100"</f>
        <v>0611884275100</v>
      </c>
      <c r="B7006" t="str">
        <f>"CN2401"</f>
        <v>CN2401</v>
      </c>
      <c r="C7006" t="s">
        <v>6839</v>
      </c>
    </row>
    <row r="7007" spans="1:3" x14ac:dyDescent="0.25">
      <c r="A7007" t="str">
        <f>"0611862917100"</f>
        <v>0611862917100</v>
      </c>
      <c r="B7007" t="str">
        <f>"CN2223"</f>
        <v>CN2223</v>
      </c>
      <c r="C7007" t="s">
        <v>6840</v>
      </c>
    </row>
    <row r="7008" spans="1:3" x14ac:dyDescent="0.25">
      <c r="A7008" t="str">
        <f>"0611862918100"</f>
        <v>0611862918100</v>
      </c>
      <c r="B7008" t="str">
        <f>"CN2171"</f>
        <v>CN2171</v>
      </c>
      <c r="C7008" t="s">
        <v>6841</v>
      </c>
    </row>
    <row r="7009" spans="1:3" x14ac:dyDescent="0.25">
      <c r="A7009" t="str">
        <f>"0611862919100"</f>
        <v>0611862919100</v>
      </c>
      <c r="B7009" t="str">
        <f>"CN2172"</f>
        <v>CN2172</v>
      </c>
      <c r="C7009" t="s">
        <v>6842</v>
      </c>
    </row>
    <row r="7010" spans="1:3" x14ac:dyDescent="0.25">
      <c r="A7010" t="str">
        <f>"0611862920100"</f>
        <v>0611862920100</v>
      </c>
      <c r="B7010" t="str">
        <f>"CN2228"</f>
        <v>CN2228</v>
      </c>
      <c r="C7010" t="s">
        <v>6843</v>
      </c>
    </row>
    <row r="7011" spans="1:3" x14ac:dyDescent="0.25">
      <c r="A7011" t="str">
        <f>"0611862922100"</f>
        <v>0611862922100</v>
      </c>
      <c r="B7011" t="str">
        <f>"CN2196"</f>
        <v>CN2196</v>
      </c>
      <c r="C7011" t="s">
        <v>6844</v>
      </c>
    </row>
    <row r="7012" spans="1:3" x14ac:dyDescent="0.25">
      <c r="A7012" t="str">
        <f>"0611862923100"</f>
        <v>0611862923100</v>
      </c>
      <c r="B7012" t="str">
        <f>"CN2187"</f>
        <v>CN2187</v>
      </c>
      <c r="C7012" t="s">
        <v>6845</v>
      </c>
    </row>
    <row r="7013" spans="1:3" x14ac:dyDescent="0.25">
      <c r="A7013" t="str">
        <f>"0611862924100"</f>
        <v>0611862924100</v>
      </c>
      <c r="B7013" t="str">
        <f>"CN2230"</f>
        <v>CN2230</v>
      </c>
      <c r="C7013" t="s">
        <v>6846</v>
      </c>
    </row>
    <row r="7014" spans="1:3" x14ac:dyDescent="0.25">
      <c r="A7014" t="str">
        <f>"0611862925100"</f>
        <v>0611862925100</v>
      </c>
      <c r="B7014" t="str">
        <f>"CN2328"</f>
        <v>CN2328</v>
      </c>
      <c r="C7014" t="s">
        <v>6847</v>
      </c>
    </row>
    <row r="7015" spans="1:3" x14ac:dyDescent="0.25">
      <c r="A7015" t="str">
        <f>"0611862927100"</f>
        <v>0611862927100</v>
      </c>
      <c r="B7015" t="str">
        <f>"CN2173"</f>
        <v>CN2173</v>
      </c>
      <c r="C7015" t="s">
        <v>6848</v>
      </c>
    </row>
    <row r="7016" spans="1:3" x14ac:dyDescent="0.25">
      <c r="A7016" t="str">
        <f>"0611862930100"</f>
        <v>0611862930100</v>
      </c>
      <c r="B7016" t="str">
        <f>"CN2232"</f>
        <v>CN2232</v>
      </c>
      <c r="C7016" t="s">
        <v>6849</v>
      </c>
    </row>
    <row r="7017" spans="1:3" x14ac:dyDescent="0.25">
      <c r="A7017" t="str">
        <f>"0611862931100"</f>
        <v>0611862931100</v>
      </c>
      <c r="B7017" t="str">
        <f>"CN2175"</f>
        <v>CN2175</v>
      </c>
      <c r="C7017" t="s">
        <v>6850</v>
      </c>
    </row>
    <row r="7018" spans="1:3" x14ac:dyDescent="0.25">
      <c r="A7018" t="str">
        <f>"0611862932100"</f>
        <v>0611862932100</v>
      </c>
      <c r="B7018" t="str">
        <f>"CN2200"</f>
        <v>CN2200</v>
      </c>
      <c r="C7018" t="s">
        <v>6851</v>
      </c>
    </row>
    <row r="7019" spans="1:3" x14ac:dyDescent="0.25">
      <c r="A7019" t="str">
        <f>"0611862933100"</f>
        <v>0611862933100</v>
      </c>
      <c r="B7019" t="str">
        <f>"CN2184"</f>
        <v>CN2184</v>
      </c>
      <c r="C7019" t="s">
        <v>6852</v>
      </c>
    </row>
    <row r="7020" spans="1:3" x14ac:dyDescent="0.25">
      <c r="A7020" t="str">
        <f>"0611862934100"</f>
        <v>0611862934100</v>
      </c>
      <c r="B7020" t="str">
        <f>"CN2224"</f>
        <v>CN2224</v>
      </c>
      <c r="C7020" t="s">
        <v>6853</v>
      </c>
    </row>
    <row r="7021" spans="1:3" x14ac:dyDescent="0.25">
      <c r="A7021" t="str">
        <f>"0611862935100"</f>
        <v>0611862935100</v>
      </c>
      <c r="B7021" t="str">
        <f>"CN2198"</f>
        <v>CN2198</v>
      </c>
      <c r="C7021" t="s">
        <v>6854</v>
      </c>
    </row>
    <row r="7022" spans="1:3" x14ac:dyDescent="0.25">
      <c r="A7022" t="str">
        <f>"0611862936100"</f>
        <v>0611862936100</v>
      </c>
      <c r="B7022" t="str">
        <f>"CN2178"</f>
        <v>CN2178</v>
      </c>
      <c r="C7022" t="s">
        <v>6855</v>
      </c>
    </row>
    <row r="7023" spans="1:3" x14ac:dyDescent="0.25">
      <c r="A7023" t="str">
        <f>"0611862937100"</f>
        <v>0611862937100</v>
      </c>
      <c r="B7023" t="str">
        <f>"CN2225"</f>
        <v>CN2225</v>
      </c>
      <c r="C7023" t="s">
        <v>6856</v>
      </c>
    </row>
    <row r="7024" spans="1:3" x14ac:dyDescent="0.25">
      <c r="A7024" t="str">
        <f>"0611831813100"</f>
        <v>0611831813100</v>
      </c>
      <c r="B7024" t="str">
        <f>"LL1950"</f>
        <v>LL1950</v>
      </c>
      <c r="C7024" t="s">
        <v>6857</v>
      </c>
    </row>
    <row r="7025" spans="1:3" x14ac:dyDescent="0.25">
      <c r="A7025" t="str">
        <f>"0611831897100"</f>
        <v>0611831897100</v>
      </c>
      <c r="B7025" t="str">
        <f>"LL1951"</f>
        <v>LL1951</v>
      </c>
      <c r="C7025" t="s">
        <v>6871</v>
      </c>
    </row>
    <row r="7026" spans="1:3" x14ac:dyDescent="0.25">
      <c r="A7026" t="str">
        <f>"0611831903100"</f>
        <v>0611831903100</v>
      </c>
      <c r="B7026" t="str">
        <f>"LB5782"</f>
        <v>LB5782</v>
      </c>
      <c r="C7026" t="s">
        <v>6878</v>
      </c>
    </row>
    <row r="7027" spans="1:3" x14ac:dyDescent="0.25">
      <c r="A7027" t="str">
        <f>"0611831936100"</f>
        <v>0611831936100</v>
      </c>
      <c r="B7027" t="str">
        <f>"LL8309"</f>
        <v>LL8309</v>
      </c>
      <c r="C7027" t="s">
        <v>6896</v>
      </c>
    </row>
    <row r="7028" spans="1:3" x14ac:dyDescent="0.25">
      <c r="A7028" t="str">
        <f>"0611831945100"</f>
        <v>0611831945100</v>
      </c>
      <c r="B7028" t="str">
        <f>"LL1953"</f>
        <v>LL1953</v>
      </c>
      <c r="C7028" t="s">
        <v>6898</v>
      </c>
    </row>
    <row r="7029" spans="1:3" x14ac:dyDescent="0.25">
      <c r="A7029" t="str">
        <f>"0611831947100"</f>
        <v>0611831947100</v>
      </c>
      <c r="B7029" t="str">
        <f>"LL1952"</f>
        <v>LL1952</v>
      </c>
      <c r="C7029" t="s">
        <v>6899</v>
      </c>
    </row>
    <row r="7030" spans="1:3" x14ac:dyDescent="0.25">
      <c r="A7030" t="str">
        <f>"0611831956100"</f>
        <v>0611831956100</v>
      </c>
      <c r="B7030" t="str">
        <f>"LL0022"</f>
        <v>LL0022</v>
      </c>
      <c r="C7030" t="s">
        <v>6901</v>
      </c>
    </row>
    <row r="7031" spans="1:3" x14ac:dyDescent="0.25">
      <c r="A7031" t="str">
        <f>"0611831959025"</f>
        <v>0611831959025</v>
      </c>
      <c r="B7031" t="str">
        <f>"MC4007"</f>
        <v>MC4007</v>
      </c>
      <c r="C7031" t="s">
        <v>6902</v>
      </c>
    </row>
    <row r="7032" spans="1:3" x14ac:dyDescent="0.25">
      <c r="A7032" t="str">
        <f>"0611831966100"</f>
        <v>0611831966100</v>
      </c>
      <c r="B7032" t="str">
        <f>"LL5013"</f>
        <v>LL5013</v>
      </c>
      <c r="C7032" t="s">
        <v>6906</v>
      </c>
    </row>
    <row r="7033" spans="1:3" x14ac:dyDescent="0.25">
      <c r="A7033" t="str">
        <f>"0611831986100"</f>
        <v>0611831986100</v>
      </c>
      <c r="B7033" t="str">
        <f>"LL1954"</f>
        <v>LL1954</v>
      </c>
      <c r="C7033" t="s">
        <v>6909</v>
      </c>
    </row>
    <row r="7034" spans="1:3" x14ac:dyDescent="0.25">
      <c r="A7034" t="str">
        <f>"0611835906025"</f>
        <v>0611835906025</v>
      </c>
      <c r="B7034" t="str">
        <f>"MC4218"</f>
        <v>MC4218</v>
      </c>
      <c r="C7034" t="s">
        <v>6913</v>
      </c>
    </row>
    <row r="7035" spans="1:3" x14ac:dyDescent="0.25">
      <c r="A7035" t="str">
        <f>"0611835907025"</f>
        <v>0611835907025</v>
      </c>
      <c r="B7035" t="str">
        <f>"MC0886"</f>
        <v>MC0886</v>
      </c>
      <c r="C7035" t="s">
        <v>6914</v>
      </c>
    </row>
    <row r="7036" spans="1:3" x14ac:dyDescent="0.25">
      <c r="A7036" t="str">
        <f>"0611857014025"</f>
        <v>0611857014025</v>
      </c>
      <c r="B7036" t="str">
        <f>"MQ0787"</f>
        <v>MQ0787</v>
      </c>
      <c r="C7036" t="s">
        <v>6915</v>
      </c>
    </row>
    <row r="7037" spans="1:3" x14ac:dyDescent="0.25">
      <c r="A7037" t="str">
        <f>"0611835908025"</f>
        <v>0611835908025</v>
      </c>
      <c r="B7037" t="str">
        <f>"MC4404"</f>
        <v>MC4404</v>
      </c>
      <c r="C7037" t="s">
        <v>6916</v>
      </c>
    </row>
    <row r="7038" spans="1:3" x14ac:dyDescent="0.25">
      <c r="A7038" t="str">
        <f>"0611835909025"</f>
        <v>0611835909025</v>
      </c>
      <c r="B7038" t="str">
        <f>"MQ0295"</f>
        <v>MQ0295</v>
      </c>
      <c r="C7038" t="s">
        <v>6917</v>
      </c>
    </row>
    <row r="7039" spans="1:3" x14ac:dyDescent="0.25">
      <c r="A7039" t="str">
        <f>"0611835910025"</f>
        <v>0611835910025</v>
      </c>
      <c r="B7039" t="str">
        <f>"MQ0296"</f>
        <v>MQ0296</v>
      </c>
      <c r="C7039" t="s">
        <v>6918</v>
      </c>
    </row>
    <row r="7040" spans="1:3" x14ac:dyDescent="0.25">
      <c r="A7040" t="str">
        <f>"0611835912100"</f>
        <v>0611835912100</v>
      </c>
      <c r="B7040" t="str">
        <f>"LH8420"</f>
        <v>LH8420</v>
      </c>
      <c r="C7040" t="s">
        <v>6919</v>
      </c>
    </row>
    <row r="7041" spans="1:3" x14ac:dyDescent="0.25">
      <c r="A7041" t="str">
        <f>"0611835913025"</f>
        <v>0611835913025</v>
      </c>
      <c r="B7041" t="str">
        <f>"MC0455"</f>
        <v>MC0455</v>
      </c>
      <c r="C7041" t="s">
        <v>6920</v>
      </c>
    </row>
    <row r="7042" spans="1:3" x14ac:dyDescent="0.25">
      <c r="A7042" t="str">
        <f>"0611835914025"</f>
        <v>0611835914025</v>
      </c>
      <c r="B7042" t="str">
        <f>"MC2668"</f>
        <v>MC2668</v>
      </c>
      <c r="C7042" t="s">
        <v>6921</v>
      </c>
    </row>
    <row r="7043" spans="1:3" x14ac:dyDescent="0.25">
      <c r="A7043" t="str">
        <f>"0611831857100"</f>
        <v>0611831857100</v>
      </c>
      <c r="B7043" t="str">
        <f>"LL2066"</f>
        <v>LL2066</v>
      </c>
      <c r="C7043" t="s">
        <v>6922</v>
      </c>
    </row>
    <row r="7044" spans="1:3" x14ac:dyDescent="0.25">
      <c r="A7044" t="str">
        <f>"0611831859100"</f>
        <v>0611831859100</v>
      </c>
      <c r="B7044" t="str">
        <f>"LL2055"</f>
        <v>LL2055</v>
      </c>
      <c r="C7044" t="s">
        <v>6923</v>
      </c>
    </row>
    <row r="7045" spans="1:3" x14ac:dyDescent="0.25">
      <c r="A7045" t="str">
        <f>"0611831871100"</f>
        <v>0611831871100</v>
      </c>
      <c r="B7045" t="str">
        <f>"LL0120"</f>
        <v>LL0120</v>
      </c>
      <c r="C7045" t="s">
        <v>6924</v>
      </c>
    </row>
    <row r="7046" spans="1:3" x14ac:dyDescent="0.25">
      <c r="A7046" t="str">
        <f>"0611831877100"</f>
        <v>0611831877100</v>
      </c>
      <c r="B7046" t="str">
        <f>"LL2062"</f>
        <v>LL2062</v>
      </c>
      <c r="C7046" t="s">
        <v>6925</v>
      </c>
    </row>
    <row r="7047" spans="1:3" x14ac:dyDescent="0.25">
      <c r="A7047" t="str">
        <f>"0611831878100"</f>
        <v>0611831878100</v>
      </c>
      <c r="B7047" t="str">
        <f>"LL2063"</f>
        <v>LL2063</v>
      </c>
      <c r="C7047" t="s">
        <v>6926</v>
      </c>
    </row>
    <row r="7048" spans="1:3" x14ac:dyDescent="0.25">
      <c r="A7048" t="str">
        <f>"0611831881100"</f>
        <v>0611831881100</v>
      </c>
      <c r="B7048" t="str">
        <f>"LL2065"</f>
        <v>LL2065</v>
      </c>
      <c r="C7048" t="s">
        <v>6927</v>
      </c>
    </row>
    <row r="7049" spans="1:3" x14ac:dyDescent="0.25">
      <c r="A7049" t="str">
        <f>"0611831902100"</f>
        <v>0611831902100</v>
      </c>
      <c r="B7049" t="str">
        <f>"LL8310"</f>
        <v>LL8310</v>
      </c>
      <c r="C7049" t="s">
        <v>6928</v>
      </c>
    </row>
    <row r="7050" spans="1:3" x14ac:dyDescent="0.25">
      <c r="A7050" t="str">
        <f>"0611831937100"</f>
        <v>0611831937100</v>
      </c>
      <c r="B7050" t="str">
        <f>"LL8192"</f>
        <v>LL8192</v>
      </c>
      <c r="C7050" t="s">
        <v>6929</v>
      </c>
    </row>
    <row r="7051" spans="1:3" x14ac:dyDescent="0.25">
      <c r="A7051" t="str">
        <f>"0611831985100"</f>
        <v>0611831985100</v>
      </c>
      <c r="B7051" t="str">
        <f>"LL8193"</f>
        <v>LL8193</v>
      </c>
      <c r="C7051" t="s">
        <v>6930</v>
      </c>
    </row>
    <row r="7052" spans="1:3" x14ac:dyDescent="0.25">
      <c r="A7052" t="str">
        <f>"0611862940050"</f>
        <v>0611862940050</v>
      </c>
      <c r="B7052" t="str">
        <f>"CE1602"</f>
        <v>CE1602</v>
      </c>
      <c r="C7052" t="s">
        <v>6931</v>
      </c>
    </row>
    <row r="7053" spans="1:3" x14ac:dyDescent="0.25">
      <c r="A7053" t="str">
        <f>"0611862942050"</f>
        <v>0611862942050</v>
      </c>
      <c r="B7053" t="str">
        <f>"CE0726"</f>
        <v>CE0726</v>
      </c>
      <c r="C7053" t="s">
        <v>6932</v>
      </c>
    </row>
    <row r="7054" spans="1:3" x14ac:dyDescent="0.25">
      <c r="A7054" t="str">
        <f>"0611862943050"</f>
        <v>0611862943050</v>
      </c>
      <c r="B7054" t="str">
        <f>"CE0727"</f>
        <v>CE0727</v>
      </c>
      <c r="C7054" t="s">
        <v>6933</v>
      </c>
    </row>
    <row r="7055" spans="1:3" x14ac:dyDescent="0.25">
      <c r="A7055" t="str">
        <f>"0611884276050"</f>
        <v>0611884276050</v>
      </c>
      <c r="B7055" t="str">
        <f>"CE1751"</f>
        <v>CE1751</v>
      </c>
      <c r="C7055" t="s">
        <v>6934</v>
      </c>
    </row>
    <row r="7056" spans="1:3" x14ac:dyDescent="0.25">
      <c r="A7056" t="str">
        <f>"0611884277050"</f>
        <v>0611884277050</v>
      </c>
      <c r="B7056" t="str">
        <f>"CE1752"</f>
        <v>CE1752</v>
      </c>
      <c r="C7056" t="s">
        <v>6935</v>
      </c>
    </row>
    <row r="7057" spans="1:3" x14ac:dyDescent="0.25">
      <c r="A7057" t="str">
        <f>"0611893612050"</f>
        <v>0611893612050</v>
      </c>
      <c r="B7057" t="str">
        <f>"CE1788"</f>
        <v>CE1788</v>
      </c>
      <c r="C7057" t="s">
        <v>6936</v>
      </c>
    </row>
    <row r="7058" spans="1:3" x14ac:dyDescent="0.25">
      <c r="A7058" t="str">
        <f>"0611862945050"</f>
        <v>0611862945050</v>
      </c>
      <c r="B7058" t="str">
        <f>"CE1377"</f>
        <v>CE1377</v>
      </c>
      <c r="C7058" t="s">
        <v>6937</v>
      </c>
    </row>
    <row r="7059" spans="1:3" x14ac:dyDescent="0.25">
      <c r="A7059" t="str">
        <f>"0611862946050"</f>
        <v>0611862946050</v>
      </c>
      <c r="B7059" t="str">
        <f>"CE1680"</f>
        <v>CE1680</v>
      </c>
      <c r="C7059" t="s">
        <v>6938</v>
      </c>
    </row>
    <row r="7060" spans="1:3" x14ac:dyDescent="0.25">
      <c r="A7060" t="str">
        <f>"0611862947050"</f>
        <v>0611862947050</v>
      </c>
      <c r="B7060" t="str">
        <f>"CE1274"</f>
        <v>CE1274</v>
      </c>
      <c r="C7060" t="s">
        <v>6939</v>
      </c>
    </row>
    <row r="7061" spans="1:3" x14ac:dyDescent="0.25">
      <c r="A7061" t="str">
        <f>"0611862949050"</f>
        <v>0611862949050</v>
      </c>
      <c r="B7061" t="str">
        <f>"CE0814"</f>
        <v>CE0814</v>
      </c>
      <c r="C7061" t="s">
        <v>6940</v>
      </c>
    </row>
    <row r="7062" spans="1:3" x14ac:dyDescent="0.25">
      <c r="A7062" t="str">
        <f>"0611862950050"</f>
        <v>0611862950050</v>
      </c>
      <c r="B7062" t="str">
        <f>"CE1211"</f>
        <v>CE1211</v>
      </c>
      <c r="C7062" t="s">
        <v>6941</v>
      </c>
    </row>
    <row r="7063" spans="1:3" x14ac:dyDescent="0.25">
      <c r="A7063" t="str">
        <f>"0611884278050"</f>
        <v>0611884278050</v>
      </c>
      <c r="B7063" t="str">
        <f>"CE1753"</f>
        <v>CE1753</v>
      </c>
      <c r="C7063" t="s">
        <v>6942</v>
      </c>
    </row>
    <row r="7064" spans="1:3" x14ac:dyDescent="0.25">
      <c r="A7064" t="str">
        <f>"0611862951050"</f>
        <v>0611862951050</v>
      </c>
      <c r="B7064" t="str">
        <f>"CE1624"</f>
        <v>CE1624</v>
      </c>
      <c r="C7064" t="s">
        <v>6943</v>
      </c>
    </row>
    <row r="7065" spans="1:3" x14ac:dyDescent="0.25">
      <c r="A7065" t="str">
        <f>"0611862952050"</f>
        <v>0611862952050</v>
      </c>
      <c r="B7065" t="str">
        <f>"CE0728"</f>
        <v>CE0728</v>
      </c>
      <c r="C7065" t="s">
        <v>6944</v>
      </c>
    </row>
    <row r="7066" spans="1:3" x14ac:dyDescent="0.25">
      <c r="A7066" t="str">
        <f>"0611862954050"</f>
        <v>0611862954050</v>
      </c>
      <c r="B7066" t="str">
        <f>"CE1398"</f>
        <v>CE1398</v>
      </c>
      <c r="C7066" t="s">
        <v>6945</v>
      </c>
    </row>
    <row r="7067" spans="1:3" x14ac:dyDescent="0.25">
      <c r="A7067" t="str">
        <f>"0611862955050"</f>
        <v>0611862955050</v>
      </c>
      <c r="B7067" t="str">
        <f>"CE1396"</f>
        <v>CE1396</v>
      </c>
      <c r="C7067" t="s">
        <v>6946</v>
      </c>
    </row>
    <row r="7068" spans="1:3" x14ac:dyDescent="0.25">
      <c r="A7068" t="str">
        <f>"0611862956050"</f>
        <v>0611862956050</v>
      </c>
      <c r="B7068" t="str">
        <f>"CE1395"</f>
        <v>CE1395</v>
      </c>
      <c r="C7068" t="s">
        <v>6947</v>
      </c>
    </row>
    <row r="7069" spans="1:3" x14ac:dyDescent="0.25">
      <c r="A7069" t="str">
        <f>"0611862957050"</f>
        <v>0611862957050</v>
      </c>
      <c r="B7069" t="str">
        <f>"CE1397"</f>
        <v>CE1397</v>
      </c>
      <c r="C7069" t="s">
        <v>6948</v>
      </c>
    </row>
    <row r="7070" spans="1:3" x14ac:dyDescent="0.25">
      <c r="A7070" t="str">
        <f>"0611893613050"</f>
        <v>0611893613050</v>
      </c>
      <c r="B7070" t="str">
        <f>"CE1780"</f>
        <v>CE1780</v>
      </c>
      <c r="C7070" t="s">
        <v>6949</v>
      </c>
    </row>
    <row r="7071" spans="1:3" x14ac:dyDescent="0.25">
      <c r="A7071" t="str">
        <f>"0611862959050"</f>
        <v>0611862959050</v>
      </c>
      <c r="B7071" t="str">
        <f>"CE0729"</f>
        <v>CE0729</v>
      </c>
      <c r="C7071" t="s">
        <v>6950</v>
      </c>
    </row>
    <row r="7072" spans="1:3" x14ac:dyDescent="0.25">
      <c r="A7072" t="str">
        <f>"0611862960050"</f>
        <v>0611862960050</v>
      </c>
      <c r="B7072" t="str">
        <f>"CE0730"</f>
        <v>CE0730</v>
      </c>
      <c r="C7072" t="s">
        <v>6951</v>
      </c>
    </row>
    <row r="7073" spans="1:3" x14ac:dyDescent="0.25">
      <c r="A7073" t="str">
        <f>"0611862962050"</f>
        <v>0611862962050</v>
      </c>
      <c r="B7073" t="str">
        <f>"CE0732"</f>
        <v>CE0732</v>
      </c>
      <c r="C7073" t="s">
        <v>6952</v>
      </c>
    </row>
    <row r="7074" spans="1:3" x14ac:dyDescent="0.25">
      <c r="A7074" t="str">
        <f>"0611862967050"</f>
        <v>0611862967050</v>
      </c>
      <c r="B7074" t="str">
        <f>"CE1389"</f>
        <v>CE1389</v>
      </c>
      <c r="C7074" t="s">
        <v>6953</v>
      </c>
    </row>
    <row r="7075" spans="1:3" x14ac:dyDescent="0.25">
      <c r="A7075" t="str">
        <f>"0611862968050"</f>
        <v>0611862968050</v>
      </c>
      <c r="B7075" t="str">
        <f>"CE1502"</f>
        <v>CE1502</v>
      </c>
      <c r="C7075" t="s">
        <v>6954</v>
      </c>
    </row>
    <row r="7076" spans="1:3" x14ac:dyDescent="0.25">
      <c r="A7076" t="str">
        <f>"0611862969050"</f>
        <v>0611862969050</v>
      </c>
      <c r="B7076" t="str">
        <f>"CE0888"</f>
        <v>CE0888</v>
      </c>
      <c r="C7076" t="s">
        <v>6955</v>
      </c>
    </row>
    <row r="7077" spans="1:3" x14ac:dyDescent="0.25">
      <c r="A7077" t="str">
        <f>"0611862971050"</f>
        <v>0611862971050</v>
      </c>
      <c r="B7077" t="str">
        <f>"CE1681"</f>
        <v>CE1681</v>
      </c>
      <c r="C7077" t="s">
        <v>6956</v>
      </c>
    </row>
    <row r="7078" spans="1:3" x14ac:dyDescent="0.25">
      <c r="A7078" t="str">
        <f>"0611884279050"</f>
        <v>0611884279050</v>
      </c>
      <c r="B7078" t="str">
        <f>"CE1754"</f>
        <v>CE1754</v>
      </c>
      <c r="C7078" t="s">
        <v>6957</v>
      </c>
    </row>
    <row r="7079" spans="1:3" x14ac:dyDescent="0.25">
      <c r="A7079" t="str">
        <f>"0611862972050"</f>
        <v>0611862972050</v>
      </c>
      <c r="B7079" t="str">
        <f>"CE1383"</f>
        <v>CE1383</v>
      </c>
      <c r="C7079" t="s">
        <v>6958</v>
      </c>
    </row>
    <row r="7080" spans="1:3" x14ac:dyDescent="0.25">
      <c r="A7080" t="str">
        <f>"0611862973050"</f>
        <v>0611862973050</v>
      </c>
      <c r="B7080" t="str">
        <f>"CE1382"</f>
        <v>CE1382</v>
      </c>
      <c r="C7080" t="s">
        <v>6959</v>
      </c>
    </row>
    <row r="7081" spans="1:3" x14ac:dyDescent="0.25">
      <c r="A7081" t="str">
        <f>"0611893614050"</f>
        <v>0611893614050</v>
      </c>
      <c r="B7081" t="str">
        <f>"CE1781"</f>
        <v>CE1781</v>
      </c>
      <c r="C7081" t="s">
        <v>6960</v>
      </c>
    </row>
    <row r="7082" spans="1:3" x14ac:dyDescent="0.25">
      <c r="A7082" t="str">
        <f>"0611862975050"</f>
        <v>0611862975050</v>
      </c>
      <c r="B7082" t="str">
        <f>"CE0908"</f>
        <v>CE0908</v>
      </c>
      <c r="C7082" t="s">
        <v>6961</v>
      </c>
    </row>
    <row r="7083" spans="1:3" x14ac:dyDescent="0.25">
      <c r="A7083" t="str">
        <f>"0611862976050"</f>
        <v>0611862976050</v>
      </c>
      <c r="B7083" t="str">
        <f>"CE1512"</f>
        <v>CE1512</v>
      </c>
      <c r="C7083" t="s">
        <v>6962</v>
      </c>
    </row>
    <row r="7084" spans="1:3" x14ac:dyDescent="0.25">
      <c r="A7084" t="str">
        <f>"0611862977050"</f>
        <v>0611862977050</v>
      </c>
      <c r="B7084" t="str">
        <f>"CE0736"</f>
        <v>CE0736</v>
      </c>
      <c r="C7084" t="s">
        <v>6963</v>
      </c>
    </row>
    <row r="7085" spans="1:3" x14ac:dyDescent="0.25">
      <c r="A7085" t="str">
        <f>"0611862979050"</f>
        <v>0611862979050</v>
      </c>
      <c r="B7085" t="str">
        <f>"CE0737"</f>
        <v>CE0737</v>
      </c>
      <c r="C7085" t="s">
        <v>6964</v>
      </c>
    </row>
    <row r="7086" spans="1:3" x14ac:dyDescent="0.25">
      <c r="A7086" t="str">
        <f>"0611862980050"</f>
        <v>0611862980050</v>
      </c>
      <c r="B7086" t="str">
        <f>"CE1513"</f>
        <v>CE1513</v>
      </c>
      <c r="C7086" t="s">
        <v>6965</v>
      </c>
    </row>
    <row r="7087" spans="1:3" x14ac:dyDescent="0.25">
      <c r="A7087" t="str">
        <f>"0611862982050"</f>
        <v>0611862982050</v>
      </c>
      <c r="B7087" t="str">
        <f>"CE0889"</f>
        <v>CE0889</v>
      </c>
      <c r="C7087" t="s">
        <v>6966</v>
      </c>
    </row>
    <row r="7088" spans="1:3" x14ac:dyDescent="0.25">
      <c r="A7088" t="str">
        <f>"0611862983050"</f>
        <v>0611862983050</v>
      </c>
      <c r="B7088" t="str">
        <f>"CE1503"</f>
        <v>CE1503</v>
      </c>
      <c r="C7088" t="s">
        <v>6967</v>
      </c>
    </row>
    <row r="7089" spans="1:3" x14ac:dyDescent="0.25">
      <c r="A7089" t="str">
        <f>"0611862984050"</f>
        <v>0611862984050</v>
      </c>
      <c r="B7089" t="str">
        <f>"CE1682"</f>
        <v>CE1682</v>
      </c>
      <c r="C7089" t="s">
        <v>6968</v>
      </c>
    </row>
    <row r="7090" spans="1:3" x14ac:dyDescent="0.25">
      <c r="A7090" t="str">
        <f>"0611862985050"</f>
        <v>0611862985050</v>
      </c>
      <c r="B7090" t="str">
        <f>"CE1683"</f>
        <v>CE1683</v>
      </c>
      <c r="C7090" t="s">
        <v>6969</v>
      </c>
    </row>
    <row r="7091" spans="1:3" x14ac:dyDescent="0.25">
      <c r="A7091" t="str">
        <f>"0611884280050"</f>
        <v>0611884280050</v>
      </c>
      <c r="B7091" t="str">
        <f>"CE1755"</f>
        <v>CE1755</v>
      </c>
      <c r="C7091" t="s">
        <v>6970</v>
      </c>
    </row>
    <row r="7092" spans="1:3" x14ac:dyDescent="0.25">
      <c r="A7092" t="str">
        <f>"0611862986050"</f>
        <v>0611862986050</v>
      </c>
      <c r="B7092" t="str">
        <f>"CE1684"</f>
        <v>CE1684</v>
      </c>
      <c r="C7092" t="s">
        <v>6971</v>
      </c>
    </row>
    <row r="7093" spans="1:3" x14ac:dyDescent="0.25">
      <c r="A7093" t="str">
        <f>"0611862987050"</f>
        <v>0611862987050</v>
      </c>
      <c r="B7093" t="str">
        <f>"CE1514"</f>
        <v>CE1514</v>
      </c>
      <c r="C7093" t="s">
        <v>6972</v>
      </c>
    </row>
    <row r="7094" spans="1:3" x14ac:dyDescent="0.25">
      <c r="A7094" t="str">
        <f>"0611862988050"</f>
        <v>0611862988050</v>
      </c>
      <c r="B7094" t="str">
        <f>"CE1515"</f>
        <v>CE1515</v>
      </c>
      <c r="C7094" t="s">
        <v>6973</v>
      </c>
    </row>
    <row r="7095" spans="1:3" x14ac:dyDescent="0.25">
      <c r="A7095" t="str">
        <f>"0611862990050"</f>
        <v>0611862990050</v>
      </c>
      <c r="B7095" t="str">
        <f>"CE1516"</f>
        <v>CE1516</v>
      </c>
      <c r="C7095" t="s">
        <v>6974</v>
      </c>
    </row>
    <row r="7096" spans="1:3" x14ac:dyDescent="0.25">
      <c r="A7096" t="str">
        <f>"0611862991050"</f>
        <v>0611862991050</v>
      </c>
      <c r="B7096" t="str">
        <f>"CE1222"</f>
        <v>CE1222</v>
      </c>
      <c r="C7096" t="s">
        <v>6975</v>
      </c>
    </row>
    <row r="7097" spans="1:3" x14ac:dyDescent="0.25">
      <c r="A7097" t="str">
        <f>"0611862993050"</f>
        <v>0611862993050</v>
      </c>
      <c r="B7097" t="str">
        <f>"CE1504"</f>
        <v>CE1504</v>
      </c>
      <c r="C7097" t="s">
        <v>6976</v>
      </c>
    </row>
    <row r="7098" spans="1:3" x14ac:dyDescent="0.25">
      <c r="A7098" t="str">
        <f>"0611862994050"</f>
        <v>0611862994050</v>
      </c>
      <c r="B7098" t="str">
        <f>"CE1603"</f>
        <v>CE1603</v>
      </c>
      <c r="C7098" t="s">
        <v>6977</v>
      </c>
    </row>
    <row r="7099" spans="1:3" x14ac:dyDescent="0.25">
      <c r="A7099" t="str">
        <f>"0611862995050"</f>
        <v>0611862995050</v>
      </c>
      <c r="B7099" t="str">
        <f>"CE0890"</f>
        <v>CE0890</v>
      </c>
      <c r="C7099" t="s">
        <v>6978</v>
      </c>
    </row>
    <row r="7100" spans="1:3" x14ac:dyDescent="0.25">
      <c r="A7100" t="str">
        <f>"0611862997050"</f>
        <v>0611862997050</v>
      </c>
      <c r="B7100" t="str">
        <f>"CE0742"</f>
        <v>CE0742</v>
      </c>
      <c r="C7100" t="s">
        <v>6979</v>
      </c>
    </row>
    <row r="7101" spans="1:3" x14ac:dyDescent="0.25">
      <c r="A7101" t="str">
        <f>"0611862998050"</f>
        <v>0611862998050</v>
      </c>
      <c r="B7101" t="str">
        <f>"CE1381"</f>
        <v>CE1381</v>
      </c>
      <c r="C7101" t="s">
        <v>6980</v>
      </c>
    </row>
    <row r="7102" spans="1:3" x14ac:dyDescent="0.25">
      <c r="A7102" t="str">
        <f>"0611862999050"</f>
        <v>0611862999050</v>
      </c>
      <c r="B7102" t="str">
        <f>"CE0892"</f>
        <v>CE0892</v>
      </c>
      <c r="C7102" t="s">
        <v>6981</v>
      </c>
    </row>
    <row r="7103" spans="1:3" x14ac:dyDescent="0.25">
      <c r="A7103" t="str">
        <f>"0611893615050"</f>
        <v>0611893615050</v>
      </c>
      <c r="B7103" t="str">
        <f>"CE1783"</f>
        <v>CE1783</v>
      </c>
      <c r="C7103" t="s">
        <v>6982</v>
      </c>
    </row>
    <row r="7104" spans="1:3" x14ac:dyDescent="0.25">
      <c r="A7104" t="str">
        <f>"0611893616050"</f>
        <v>0611893616050</v>
      </c>
      <c r="B7104" t="str">
        <f>"CE1784"</f>
        <v>CE1784</v>
      </c>
      <c r="C7104" t="s">
        <v>6983</v>
      </c>
    </row>
    <row r="7105" spans="1:3" x14ac:dyDescent="0.25">
      <c r="A7105" t="str">
        <f>"0611893617050"</f>
        <v>0611893617050</v>
      </c>
      <c r="B7105" t="str">
        <f>"CE1785"</f>
        <v>CE1785</v>
      </c>
      <c r="C7105" t="s">
        <v>6984</v>
      </c>
    </row>
    <row r="7106" spans="1:3" x14ac:dyDescent="0.25">
      <c r="A7106" t="str">
        <f>"0611863002050"</f>
        <v>0611863002050</v>
      </c>
      <c r="B7106" t="str">
        <f>"CE0744"</f>
        <v>CE0744</v>
      </c>
      <c r="C7106" t="s">
        <v>6985</v>
      </c>
    </row>
    <row r="7107" spans="1:3" x14ac:dyDescent="0.25">
      <c r="A7107" t="str">
        <f>"0611863003050"</f>
        <v>0611863003050</v>
      </c>
      <c r="B7107" t="str">
        <f>"CE1213"</f>
        <v>CE1213</v>
      </c>
      <c r="C7107" t="s">
        <v>6986</v>
      </c>
    </row>
    <row r="7108" spans="1:3" x14ac:dyDescent="0.25">
      <c r="A7108" t="str">
        <f>"0611863005050"</f>
        <v>0611863005050</v>
      </c>
      <c r="B7108" t="str">
        <f>"CE1212"</f>
        <v>CE1212</v>
      </c>
      <c r="C7108" t="s">
        <v>6987</v>
      </c>
    </row>
    <row r="7109" spans="1:3" x14ac:dyDescent="0.25">
      <c r="A7109" t="str">
        <f>"0611863006050"</f>
        <v>0611863006050</v>
      </c>
      <c r="B7109" t="str">
        <f>"CE0746"</f>
        <v>CE0746</v>
      </c>
      <c r="C7109" t="s">
        <v>6988</v>
      </c>
    </row>
    <row r="7110" spans="1:3" x14ac:dyDescent="0.25">
      <c r="A7110" t="str">
        <f>"0611863009050"</f>
        <v>0611863009050</v>
      </c>
      <c r="B7110" t="str">
        <f>"CE0818"</f>
        <v>CE0818</v>
      </c>
      <c r="C7110" t="s">
        <v>6989</v>
      </c>
    </row>
    <row r="7111" spans="1:3" x14ac:dyDescent="0.25">
      <c r="A7111" t="str">
        <f>"0611863011050"</f>
        <v>0611863011050</v>
      </c>
      <c r="B7111" t="str">
        <f>"CE0819"</f>
        <v>CE0819</v>
      </c>
      <c r="C7111" t="s">
        <v>6990</v>
      </c>
    </row>
    <row r="7112" spans="1:3" x14ac:dyDescent="0.25">
      <c r="A7112" t="str">
        <f>"0611863012050"</f>
        <v>0611863012050</v>
      </c>
      <c r="B7112" t="str">
        <f>"CE0912"</f>
        <v>CE0912</v>
      </c>
      <c r="C7112" t="s">
        <v>6991</v>
      </c>
    </row>
    <row r="7113" spans="1:3" x14ac:dyDescent="0.25">
      <c r="A7113" t="str">
        <f>"0611863013050"</f>
        <v>0611863013050</v>
      </c>
      <c r="B7113" t="str">
        <f>"CE1509"</f>
        <v>CE1509</v>
      </c>
      <c r="C7113" t="s">
        <v>6992</v>
      </c>
    </row>
    <row r="7114" spans="1:3" x14ac:dyDescent="0.25">
      <c r="A7114" t="str">
        <f>"0611863014050"</f>
        <v>0611863014050</v>
      </c>
      <c r="B7114" t="str">
        <f>"CE1414"</f>
        <v>CE1414</v>
      </c>
      <c r="C7114" t="s">
        <v>6993</v>
      </c>
    </row>
    <row r="7115" spans="1:3" x14ac:dyDescent="0.25">
      <c r="A7115" t="str">
        <f>"0611863016050"</f>
        <v>0611863016050</v>
      </c>
      <c r="B7115" t="str">
        <f>"CE1276"</f>
        <v>CE1276</v>
      </c>
      <c r="C7115" t="s">
        <v>6994</v>
      </c>
    </row>
    <row r="7116" spans="1:3" x14ac:dyDescent="0.25">
      <c r="A7116" t="str">
        <f>"0611863017050"</f>
        <v>0611863017050</v>
      </c>
      <c r="B7116" t="str">
        <f>"CE0748"</f>
        <v>CE0748</v>
      </c>
      <c r="C7116" t="s">
        <v>6995</v>
      </c>
    </row>
    <row r="7117" spans="1:3" x14ac:dyDescent="0.25">
      <c r="A7117" t="str">
        <f>"0611863018050"</f>
        <v>0611863018050</v>
      </c>
      <c r="B7117" t="str">
        <f>"CE1393"</f>
        <v>CE1393</v>
      </c>
      <c r="C7117" t="s">
        <v>6996</v>
      </c>
    </row>
    <row r="7118" spans="1:3" x14ac:dyDescent="0.25">
      <c r="A7118" t="str">
        <f>"0611893618050"</f>
        <v>0611893618050</v>
      </c>
      <c r="B7118" t="str">
        <f>"CE1786"</f>
        <v>CE1786</v>
      </c>
      <c r="C7118" t="s">
        <v>6997</v>
      </c>
    </row>
    <row r="7119" spans="1:3" x14ac:dyDescent="0.25">
      <c r="A7119" t="str">
        <f>"0611863021050"</f>
        <v>0611863021050</v>
      </c>
      <c r="B7119" t="str">
        <f>"CE0749"</f>
        <v>CE0749</v>
      </c>
      <c r="C7119" t="s">
        <v>6998</v>
      </c>
    </row>
    <row r="7120" spans="1:3" x14ac:dyDescent="0.25">
      <c r="A7120" t="str">
        <f>"0611863022050"</f>
        <v>0611863022050</v>
      </c>
      <c r="B7120" t="str">
        <f>"CE0750"</f>
        <v>CE0750</v>
      </c>
      <c r="C7120" t="s">
        <v>6999</v>
      </c>
    </row>
    <row r="7121" spans="1:3" x14ac:dyDescent="0.25">
      <c r="A7121" t="str">
        <f>"0611863023050"</f>
        <v>0611863023050</v>
      </c>
      <c r="B7121" t="str">
        <f>"CE0751"</f>
        <v>CE0751</v>
      </c>
      <c r="C7121" t="s">
        <v>7000</v>
      </c>
    </row>
    <row r="7122" spans="1:3" x14ac:dyDescent="0.25">
      <c r="A7122" t="str">
        <f>"0611893619050"</f>
        <v>0611893619050</v>
      </c>
      <c r="B7122" t="str">
        <f>"CE1787"</f>
        <v>CE1787</v>
      </c>
      <c r="C7122" t="s">
        <v>7001</v>
      </c>
    </row>
    <row r="7123" spans="1:3" x14ac:dyDescent="0.25">
      <c r="A7123" t="str">
        <f>"0611863026050"</f>
        <v>0611863026050</v>
      </c>
      <c r="B7123" t="str">
        <f>"CE1220"</f>
        <v>CE1220</v>
      </c>
      <c r="C7123" t="s">
        <v>7002</v>
      </c>
    </row>
    <row r="7124" spans="1:3" x14ac:dyDescent="0.25">
      <c r="A7124" t="str">
        <f>"0611863027050"</f>
        <v>0611863027050</v>
      </c>
      <c r="B7124" t="str">
        <f>"CE0821"</f>
        <v>CE0821</v>
      </c>
      <c r="C7124" t="s">
        <v>7003</v>
      </c>
    </row>
    <row r="7125" spans="1:3" x14ac:dyDescent="0.25">
      <c r="A7125" t="str">
        <f>"0611863028050"</f>
        <v>0611863028050</v>
      </c>
      <c r="B7125" t="str">
        <f>"CE0914"</f>
        <v>CE0914</v>
      </c>
      <c r="C7125" t="s">
        <v>7004</v>
      </c>
    </row>
    <row r="7126" spans="1:3" x14ac:dyDescent="0.25">
      <c r="A7126" t="str">
        <f>"0611863030050"</f>
        <v>0611863030050</v>
      </c>
      <c r="B7126" t="str">
        <f>"CE1391"</f>
        <v>CE1391</v>
      </c>
      <c r="C7126" t="s">
        <v>7005</v>
      </c>
    </row>
    <row r="7127" spans="1:3" x14ac:dyDescent="0.25">
      <c r="A7127" t="str">
        <f>"0611863031050"</f>
        <v>0611863031050</v>
      </c>
      <c r="B7127" t="str">
        <f>"CE1387"</f>
        <v>CE1387</v>
      </c>
      <c r="C7127" t="s">
        <v>7006</v>
      </c>
    </row>
    <row r="7128" spans="1:3" x14ac:dyDescent="0.25">
      <c r="A7128" t="str">
        <f>"0611863032050"</f>
        <v>0611863032050</v>
      </c>
      <c r="B7128" t="str">
        <f>"CE1226"</f>
        <v>CE1226</v>
      </c>
      <c r="C7128" t="s">
        <v>7007</v>
      </c>
    </row>
    <row r="7129" spans="1:3" x14ac:dyDescent="0.25">
      <c r="A7129" t="str">
        <f>"0611863033050"</f>
        <v>0611863033050</v>
      </c>
      <c r="B7129" t="str">
        <f>"CE1604"</f>
        <v>CE1604</v>
      </c>
      <c r="C7129" t="s">
        <v>7008</v>
      </c>
    </row>
    <row r="7130" spans="1:3" x14ac:dyDescent="0.25">
      <c r="A7130" t="str">
        <f>"0611863034050"</f>
        <v>0611863034050</v>
      </c>
      <c r="B7130" t="str">
        <f>"CE0895"</f>
        <v>CE0895</v>
      </c>
      <c r="C7130" t="s">
        <v>7009</v>
      </c>
    </row>
    <row r="7131" spans="1:3" x14ac:dyDescent="0.25">
      <c r="A7131" t="str">
        <f>"0611863035050"</f>
        <v>0611863035050</v>
      </c>
      <c r="B7131" t="str">
        <f>"CE0916"</f>
        <v>CE0916</v>
      </c>
      <c r="C7131" t="s">
        <v>7010</v>
      </c>
    </row>
    <row r="7132" spans="1:3" x14ac:dyDescent="0.25">
      <c r="A7132" t="str">
        <f>"0611863036050"</f>
        <v>0611863036050</v>
      </c>
      <c r="B7132" t="str">
        <f>"CE0896"</f>
        <v>CE0896</v>
      </c>
      <c r="C7132" t="s">
        <v>7011</v>
      </c>
    </row>
    <row r="7133" spans="1:3" x14ac:dyDescent="0.25">
      <c r="A7133" t="str">
        <f>"0611863040050"</f>
        <v>0611863040050</v>
      </c>
      <c r="B7133" t="str">
        <f>"CE1518"</f>
        <v>CE1518</v>
      </c>
      <c r="C7133" t="s">
        <v>7012</v>
      </c>
    </row>
    <row r="7134" spans="1:3" x14ac:dyDescent="0.25">
      <c r="A7134" t="str">
        <f>"0611863042050"</f>
        <v>0611863042050</v>
      </c>
      <c r="B7134" t="str">
        <f>"CE1505"</f>
        <v>CE1505</v>
      </c>
      <c r="C7134" t="s">
        <v>7013</v>
      </c>
    </row>
    <row r="7135" spans="1:3" x14ac:dyDescent="0.25">
      <c r="A7135" t="str">
        <f>"0611863043050"</f>
        <v>0611863043050</v>
      </c>
      <c r="B7135" t="str">
        <f>"CE1386"</f>
        <v>CE1386</v>
      </c>
      <c r="C7135" t="s">
        <v>7014</v>
      </c>
    </row>
    <row r="7136" spans="1:3" x14ac:dyDescent="0.25">
      <c r="A7136" t="str">
        <f>"0611863044050"</f>
        <v>0611863044050</v>
      </c>
      <c r="B7136" t="str">
        <f>"CE1221"</f>
        <v>CE1221</v>
      </c>
      <c r="C7136" t="s">
        <v>7015</v>
      </c>
    </row>
    <row r="7137" spans="1:3" x14ac:dyDescent="0.25">
      <c r="A7137" t="str">
        <f>"0611863045050"</f>
        <v>0611863045050</v>
      </c>
      <c r="B7137" t="str">
        <f>"CE1277"</f>
        <v>CE1277</v>
      </c>
      <c r="C7137" t="s">
        <v>7016</v>
      </c>
    </row>
    <row r="7138" spans="1:3" x14ac:dyDescent="0.25">
      <c r="A7138" t="str">
        <f>"0611863046050"</f>
        <v>0611863046050</v>
      </c>
      <c r="B7138" t="str">
        <f>"CE1605"</f>
        <v>CE1605</v>
      </c>
      <c r="C7138" t="s">
        <v>7017</v>
      </c>
    </row>
    <row r="7139" spans="1:3" x14ac:dyDescent="0.25">
      <c r="A7139" t="str">
        <f>"0611906824100"</f>
        <v>0611906824100</v>
      </c>
      <c r="B7139" t="str">
        <f>"LK7260"</f>
        <v>LK7260</v>
      </c>
      <c r="C7139" t="s">
        <v>7018</v>
      </c>
    </row>
    <row r="7140" spans="1:3" x14ac:dyDescent="0.25">
      <c r="A7140" t="str">
        <f>"0611835966100"</f>
        <v>0611835966100</v>
      </c>
      <c r="B7140" t="str">
        <f>"LB4311"</f>
        <v>LB4311</v>
      </c>
      <c r="C7140" t="s">
        <v>7019</v>
      </c>
    </row>
    <row r="7141" spans="1:3" x14ac:dyDescent="0.25">
      <c r="A7141" t="str">
        <f>"0611863048100"</f>
        <v>0611863048100</v>
      </c>
      <c r="B7141" t="str">
        <f>"CN5206"</f>
        <v>CN5206</v>
      </c>
      <c r="C7141" t="s">
        <v>7020</v>
      </c>
    </row>
    <row r="7142" spans="1:3" x14ac:dyDescent="0.25">
      <c r="A7142" t="str">
        <f>"0611835967025"</f>
        <v>0611835967025</v>
      </c>
      <c r="B7142" t="str">
        <f>"MC0456"</f>
        <v>MC0456</v>
      </c>
      <c r="C7142" t="s">
        <v>7021</v>
      </c>
    </row>
    <row r="7143" spans="1:3" x14ac:dyDescent="0.25">
      <c r="A7143" t="str">
        <f>"0611863049050"</f>
        <v>0611863049050</v>
      </c>
      <c r="B7143" t="str">
        <f>"CR2358"</f>
        <v>CR2358</v>
      </c>
      <c r="C7143" t="s">
        <v>7022</v>
      </c>
    </row>
    <row r="7144" spans="1:3" x14ac:dyDescent="0.25">
      <c r="A7144" t="str">
        <f>"0611835968025"</f>
        <v>0611835968025</v>
      </c>
      <c r="B7144" t="str">
        <f>"MC0457"</f>
        <v>MC0457</v>
      </c>
      <c r="C7144" t="s">
        <v>7023</v>
      </c>
    </row>
    <row r="7145" spans="1:3" x14ac:dyDescent="0.25">
      <c r="A7145" t="str">
        <f>"0611863050100"</f>
        <v>0611863050100</v>
      </c>
      <c r="B7145" t="str">
        <f>"CN5207"</f>
        <v>CN5207</v>
      </c>
      <c r="C7145" t="s">
        <v>7024</v>
      </c>
    </row>
    <row r="7146" spans="1:3" x14ac:dyDescent="0.25">
      <c r="A7146" t="str">
        <f>"0611835969025"</f>
        <v>0611835969025</v>
      </c>
      <c r="B7146" t="str">
        <f>"MC1995"</f>
        <v>MC1995</v>
      </c>
      <c r="C7146" t="s">
        <v>7025</v>
      </c>
    </row>
    <row r="7147" spans="1:3" x14ac:dyDescent="0.25">
      <c r="A7147" t="str">
        <f>"0611863052050"</f>
        <v>0611863052050</v>
      </c>
      <c r="B7147" t="str">
        <f>"CR4335"</f>
        <v>CR4335</v>
      </c>
      <c r="C7147" t="s">
        <v>7026</v>
      </c>
    </row>
    <row r="7148" spans="1:3" x14ac:dyDescent="0.25">
      <c r="A7148" t="str">
        <f>"0611835970025"</f>
        <v>0611835970025</v>
      </c>
      <c r="B7148" t="str">
        <f>"MC1263"</f>
        <v>MC1263</v>
      </c>
      <c r="C7148" t="s">
        <v>7027</v>
      </c>
    </row>
    <row r="7149" spans="1:3" x14ac:dyDescent="0.25">
      <c r="A7149" t="str">
        <f>"0611863053100"</f>
        <v>0611863053100</v>
      </c>
      <c r="B7149" t="str">
        <f>"CN5208"</f>
        <v>CN5208</v>
      </c>
      <c r="C7149" t="s">
        <v>7028</v>
      </c>
    </row>
    <row r="7150" spans="1:3" x14ac:dyDescent="0.25">
      <c r="A7150" t="str">
        <f>"0611835972025"</f>
        <v>0611835972025</v>
      </c>
      <c r="B7150" t="str">
        <f>"MC0458"</f>
        <v>MC0458</v>
      </c>
      <c r="C7150" t="s">
        <v>7029</v>
      </c>
    </row>
    <row r="7151" spans="1:3" x14ac:dyDescent="0.25">
      <c r="A7151" t="str">
        <f>"0611835971100"</f>
        <v>0611835971100</v>
      </c>
      <c r="B7151" t="str">
        <f>"LH5085"</f>
        <v>LH5085</v>
      </c>
      <c r="C7151" t="s">
        <v>13899</v>
      </c>
    </row>
    <row r="7152" spans="1:3" x14ac:dyDescent="0.25">
      <c r="A7152" t="str">
        <f>"0611835977100"</f>
        <v>0611835977100</v>
      </c>
      <c r="B7152" t="str">
        <f>"LH8896"</f>
        <v>LH8896</v>
      </c>
      <c r="C7152" t="s">
        <v>7035</v>
      </c>
    </row>
    <row r="7153" spans="1:3" x14ac:dyDescent="0.25">
      <c r="A7153" t="str">
        <f>"0611863054100"</f>
        <v>0611863054100</v>
      </c>
      <c r="B7153" t="str">
        <f>"CN5209"</f>
        <v>CN5209</v>
      </c>
      <c r="C7153" t="s">
        <v>7030</v>
      </c>
    </row>
    <row r="7154" spans="1:3" x14ac:dyDescent="0.25">
      <c r="A7154" t="str">
        <f>"0611835973025"</f>
        <v>0611835973025</v>
      </c>
      <c r="B7154" t="str">
        <f>"MC3423"</f>
        <v>MC3423</v>
      </c>
      <c r="C7154" t="s">
        <v>7031</v>
      </c>
    </row>
    <row r="7155" spans="1:3" x14ac:dyDescent="0.25">
      <c r="A7155" t="str">
        <f>"0611863056100"</f>
        <v>0611863056100</v>
      </c>
      <c r="B7155" t="str">
        <f>"CN5210"</f>
        <v>CN5210</v>
      </c>
      <c r="C7155" t="s">
        <v>7032</v>
      </c>
    </row>
    <row r="7156" spans="1:3" x14ac:dyDescent="0.25">
      <c r="A7156" t="str">
        <f>"0611835974100"</f>
        <v>0611835974100</v>
      </c>
      <c r="B7156" t="str">
        <f>"LQ6123"</f>
        <v>LQ6123</v>
      </c>
      <c r="C7156" t="s">
        <v>7033</v>
      </c>
    </row>
    <row r="7157" spans="1:3" x14ac:dyDescent="0.25">
      <c r="A7157" t="str">
        <f>"0611835975025"</f>
        <v>0611835975025</v>
      </c>
      <c r="B7157" t="str">
        <f>"MQ5115"</f>
        <v>MQ5115</v>
      </c>
      <c r="C7157" t="s">
        <v>7034</v>
      </c>
    </row>
    <row r="7158" spans="1:3" x14ac:dyDescent="0.25">
      <c r="A7158" t="str">
        <f>"0611835976100"</f>
        <v>0611835976100</v>
      </c>
      <c r="B7158" t="str">
        <f>"LQ6124"</f>
        <v>LQ6124</v>
      </c>
      <c r="C7158" t="s">
        <v>7036</v>
      </c>
    </row>
    <row r="7159" spans="1:3" x14ac:dyDescent="0.25">
      <c r="A7159" t="str">
        <f>"0611835979025"</f>
        <v>0611835979025</v>
      </c>
      <c r="B7159" t="str">
        <f>"MC4219"</f>
        <v>MC4219</v>
      </c>
      <c r="C7159" t="s">
        <v>7037</v>
      </c>
    </row>
    <row r="7160" spans="1:3" x14ac:dyDescent="0.25">
      <c r="A7160" t="str">
        <f>"0611863057100"</f>
        <v>0611863057100</v>
      </c>
      <c r="B7160" t="str">
        <f>"CN5211"</f>
        <v>CN5211</v>
      </c>
      <c r="C7160" t="s">
        <v>7038</v>
      </c>
    </row>
    <row r="7161" spans="1:3" x14ac:dyDescent="0.25">
      <c r="A7161" t="str">
        <f>"0611863058100"</f>
        <v>0611863058100</v>
      </c>
      <c r="B7161" t="str">
        <f>"CN2374"</f>
        <v>CN2374</v>
      </c>
      <c r="C7161" t="s">
        <v>7039</v>
      </c>
    </row>
    <row r="7162" spans="1:3" x14ac:dyDescent="0.25">
      <c r="A7162" t="str">
        <f>"0611863059100"</f>
        <v>0611863059100</v>
      </c>
      <c r="B7162" t="str">
        <f>"CN2375"</f>
        <v>CN2375</v>
      </c>
      <c r="C7162" t="s">
        <v>7040</v>
      </c>
    </row>
    <row r="7163" spans="1:3" x14ac:dyDescent="0.25">
      <c r="A7163" t="str">
        <f>"0611835980100"</f>
        <v>0611835980100</v>
      </c>
      <c r="B7163" t="str">
        <f>"LH8897"</f>
        <v>LH8897</v>
      </c>
      <c r="C7163" t="s">
        <v>7041</v>
      </c>
    </row>
    <row r="7164" spans="1:3" x14ac:dyDescent="0.25">
      <c r="A7164" t="str">
        <f>"0611835981025"</f>
        <v>0611835981025</v>
      </c>
      <c r="B7164" t="str">
        <f>"MQ0298"</f>
        <v>MQ0298</v>
      </c>
      <c r="C7164" t="s">
        <v>7042</v>
      </c>
    </row>
    <row r="7165" spans="1:3" x14ac:dyDescent="0.25">
      <c r="A7165" t="str">
        <f>"0611863061100"</f>
        <v>0611863061100</v>
      </c>
      <c r="B7165" t="str">
        <f>"CN5212"</f>
        <v>CN5212</v>
      </c>
      <c r="C7165" t="s">
        <v>7043</v>
      </c>
    </row>
    <row r="7166" spans="1:3" x14ac:dyDescent="0.25">
      <c r="A7166" t="str">
        <f>"0611835983025"</f>
        <v>0611835983025</v>
      </c>
      <c r="B7166" t="str">
        <f>"MC0459"</f>
        <v>MC0459</v>
      </c>
      <c r="C7166" t="s">
        <v>7044</v>
      </c>
    </row>
    <row r="7167" spans="1:3" x14ac:dyDescent="0.25">
      <c r="A7167" t="str">
        <f>"0611835982100"</f>
        <v>0611835982100</v>
      </c>
      <c r="B7167" t="str">
        <f>"LH8898"</f>
        <v>LH8898</v>
      </c>
      <c r="C7167" t="s">
        <v>13900</v>
      </c>
    </row>
    <row r="7168" spans="1:3" x14ac:dyDescent="0.25">
      <c r="A7168" t="str">
        <f>"0611863062100"</f>
        <v>0611863062100</v>
      </c>
      <c r="B7168" t="str">
        <f>"CN5213"</f>
        <v>CN5213</v>
      </c>
      <c r="C7168" t="s">
        <v>7045</v>
      </c>
    </row>
    <row r="7169" spans="1:3" x14ac:dyDescent="0.25">
      <c r="A7169" t="str">
        <f>"0611835984025"</f>
        <v>0611835984025</v>
      </c>
      <c r="B7169" t="str">
        <f>"MC2901"</f>
        <v>MC2901</v>
      </c>
      <c r="C7169" t="s">
        <v>7046</v>
      </c>
    </row>
    <row r="7170" spans="1:3" x14ac:dyDescent="0.25">
      <c r="A7170" t="str">
        <f>"0611863063100"</f>
        <v>0611863063100</v>
      </c>
      <c r="B7170" t="str">
        <f>"CN5214"</f>
        <v>CN5214</v>
      </c>
      <c r="C7170" t="s">
        <v>7047</v>
      </c>
    </row>
    <row r="7171" spans="1:3" x14ac:dyDescent="0.25">
      <c r="A7171" t="str">
        <f>"0611835985025"</f>
        <v>0611835985025</v>
      </c>
      <c r="B7171" t="str">
        <f>"MC1467"</f>
        <v>MC1467</v>
      </c>
      <c r="C7171" t="s">
        <v>7048</v>
      </c>
    </row>
    <row r="7172" spans="1:3" x14ac:dyDescent="0.25">
      <c r="A7172" t="str">
        <f>"0611835986025"</f>
        <v>0611835986025</v>
      </c>
      <c r="B7172" t="str">
        <f>"MC0460"</f>
        <v>MC0460</v>
      </c>
      <c r="C7172" t="s">
        <v>7049</v>
      </c>
    </row>
    <row r="7173" spans="1:3" x14ac:dyDescent="0.25">
      <c r="A7173" t="str">
        <f>"0611863064100"</f>
        <v>0611863064100</v>
      </c>
      <c r="B7173" t="str">
        <f>"CN5215"</f>
        <v>CN5215</v>
      </c>
      <c r="C7173" t="s">
        <v>7050</v>
      </c>
    </row>
    <row r="7174" spans="1:3" x14ac:dyDescent="0.25">
      <c r="A7174" t="str">
        <f>"0611835988025"</f>
        <v>0611835988025</v>
      </c>
      <c r="B7174" t="str">
        <f>"MC0461"</f>
        <v>MC0461</v>
      </c>
      <c r="C7174" t="s">
        <v>7051</v>
      </c>
    </row>
    <row r="7175" spans="1:3" x14ac:dyDescent="0.25">
      <c r="A7175" t="str">
        <f>"0611835987100"</f>
        <v>0611835987100</v>
      </c>
      <c r="B7175" t="str">
        <f>"LH5086"</f>
        <v>LH5086</v>
      </c>
      <c r="C7175" t="s">
        <v>13901</v>
      </c>
    </row>
    <row r="7176" spans="1:3" x14ac:dyDescent="0.25">
      <c r="A7176" t="str">
        <f>"0611835989100"</f>
        <v>0611835989100</v>
      </c>
      <c r="B7176" t="str">
        <f>"LB4318"</f>
        <v>LB4318</v>
      </c>
      <c r="C7176" t="s">
        <v>7052</v>
      </c>
    </row>
    <row r="7177" spans="1:3" x14ac:dyDescent="0.25">
      <c r="A7177" t="str">
        <f>"0611863065050"</f>
        <v>0611863065050</v>
      </c>
      <c r="B7177" t="str">
        <f>"CE1649"</f>
        <v>CE1649</v>
      </c>
      <c r="C7177" t="s">
        <v>7053</v>
      </c>
    </row>
    <row r="7178" spans="1:3" x14ac:dyDescent="0.25">
      <c r="A7178" t="str">
        <f>"0611863066050"</f>
        <v>0611863066050</v>
      </c>
      <c r="B7178" t="str">
        <f>"CE0445"</f>
        <v>CE0445</v>
      </c>
      <c r="C7178" t="s">
        <v>7054</v>
      </c>
    </row>
    <row r="7179" spans="1:3" x14ac:dyDescent="0.25">
      <c r="A7179" t="str">
        <f>"0611863067050"</f>
        <v>0611863067050</v>
      </c>
      <c r="B7179" t="str">
        <f>"CE0446"</f>
        <v>CE0446</v>
      </c>
      <c r="C7179" t="s">
        <v>7055</v>
      </c>
    </row>
    <row r="7180" spans="1:3" x14ac:dyDescent="0.25">
      <c r="A7180" t="str">
        <f>"0611863068050"</f>
        <v>0611863068050</v>
      </c>
      <c r="B7180" t="str">
        <f>"CE1636"</f>
        <v>CE1636</v>
      </c>
      <c r="C7180" t="s">
        <v>7056</v>
      </c>
    </row>
    <row r="7181" spans="1:3" x14ac:dyDescent="0.25">
      <c r="A7181" t="str">
        <f>"0611863069050"</f>
        <v>0611863069050</v>
      </c>
      <c r="B7181" t="str">
        <f>"CE0447"</f>
        <v>CE0447</v>
      </c>
      <c r="C7181" t="s">
        <v>7057</v>
      </c>
    </row>
    <row r="7182" spans="1:3" x14ac:dyDescent="0.25">
      <c r="A7182" t="str">
        <f>"0611863070050"</f>
        <v>0611863070050</v>
      </c>
      <c r="B7182" t="str">
        <f>"CE1348"</f>
        <v>CE1348</v>
      </c>
      <c r="C7182" t="s">
        <v>7058</v>
      </c>
    </row>
    <row r="7183" spans="1:3" x14ac:dyDescent="0.25">
      <c r="A7183" t="str">
        <f>"0611863072050"</f>
        <v>0611863072050</v>
      </c>
      <c r="B7183" t="str">
        <f>"CE0449"</f>
        <v>CE0449</v>
      </c>
      <c r="C7183" t="s">
        <v>7059</v>
      </c>
    </row>
    <row r="7184" spans="1:3" x14ac:dyDescent="0.25">
      <c r="A7184" t="str">
        <f>"0611863073050"</f>
        <v>0611863073050</v>
      </c>
      <c r="B7184" t="str">
        <f>"CE0450"</f>
        <v>CE0450</v>
      </c>
      <c r="C7184" t="s">
        <v>7060</v>
      </c>
    </row>
    <row r="7185" spans="1:3" x14ac:dyDescent="0.25">
      <c r="A7185" t="str">
        <f>"0611863074050"</f>
        <v>0611863074050</v>
      </c>
      <c r="B7185" t="str">
        <f>"CE0451"</f>
        <v>CE0451</v>
      </c>
      <c r="C7185" t="s">
        <v>7061</v>
      </c>
    </row>
    <row r="7186" spans="1:3" x14ac:dyDescent="0.25">
      <c r="A7186" t="str">
        <f>"0611863075050"</f>
        <v>0611863075050</v>
      </c>
      <c r="B7186" t="str">
        <f>"CE0452"</f>
        <v>CE0452</v>
      </c>
      <c r="C7186" t="s">
        <v>7062</v>
      </c>
    </row>
    <row r="7187" spans="1:3" x14ac:dyDescent="0.25">
      <c r="A7187" t="str">
        <f>"0611863076050"</f>
        <v>0611863076050</v>
      </c>
      <c r="B7187" t="str">
        <f>"CE0454"</f>
        <v>CE0454</v>
      </c>
      <c r="C7187" t="s">
        <v>7063</v>
      </c>
    </row>
    <row r="7188" spans="1:3" x14ac:dyDescent="0.25">
      <c r="A7188" t="str">
        <f>"0611863077050"</f>
        <v>0611863077050</v>
      </c>
      <c r="B7188" t="str">
        <f>"CE1097"</f>
        <v>CE1097</v>
      </c>
      <c r="C7188" t="s">
        <v>13902</v>
      </c>
    </row>
    <row r="7189" spans="1:3" x14ac:dyDescent="0.25">
      <c r="A7189" t="str">
        <f>"0611863078050"</f>
        <v>0611863078050</v>
      </c>
      <c r="B7189" t="str">
        <f>"CE1445"</f>
        <v>CE1445</v>
      </c>
      <c r="C7189" t="s">
        <v>7064</v>
      </c>
    </row>
    <row r="7190" spans="1:3" x14ac:dyDescent="0.25">
      <c r="A7190" t="str">
        <f>"0611863079050"</f>
        <v>0611863079050</v>
      </c>
      <c r="B7190" t="str">
        <f>"CE1209"</f>
        <v>CE1209</v>
      </c>
      <c r="C7190" t="s">
        <v>13903</v>
      </c>
    </row>
    <row r="7191" spans="1:3" x14ac:dyDescent="0.25">
      <c r="A7191" t="str">
        <f>"0611863080050"</f>
        <v>0611863080050</v>
      </c>
      <c r="B7191" t="str">
        <f>"CE1650"</f>
        <v>CE1650</v>
      </c>
      <c r="C7191" t="s">
        <v>7065</v>
      </c>
    </row>
    <row r="7192" spans="1:3" x14ac:dyDescent="0.25">
      <c r="A7192" t="str">
        <f>"0611863081050"</f>
        <v>0611863081050</v>
      </c>
      <c r="B7192" t="str">
        <f>"CE1207"</f>
        <v>CE1207</v>
      </c>
      <c r="C7192" t="s">
        <v>7066</v>
      </c>
    </row>
    <row r="7193" spans="1:3" x14ac:dyDescent="0.25">
      <c r="A7193" t="str">
        <f>"0611863082050"</f>
        <v>0611863082050</v>
      </c>
      <c r="B7193" t="str">
        <f>"CE0455"</f>
        <v>CE0455</v>
      </c>
      <c r="C7193" t="s">
        <v>7067</v>
      </c>
    </row>
    <row r="7194" spans="1:3" x14ac:dyDescent="0.25">
      <c r="A7194" t="str">
        <f>"0611863083050"</f>
        <v>0611863083050</v>
      </c>
      <c r="B7194" t="str">
        <f>"CE0456"</f>
        <v>CE0456</v>
      </c>
      <c r="C7194" t="s">
        <v>7068</v>
      </c>
    </row>
    <row r="7195" spans="1:3" x14ac:dyDescent="0.25">
      <c r="A7195" t="str">
        <f>"0611863084050"</f>
        <v>0611863084050</v>
      </c>
      <c r="B7195" t="str">
        <f>"CE0457"</f>
        <v>CE0457</v>
      </c>
      <c r="C7195" t="s">
        <v>7069</v>
      </c>
    </row>
    <row r="7196" spans="1:3" x14ac:dyDescent="0.25">
      <c r="A7196" t="str">
        <f>"0611863085050"</f>
        <v>0611863085050</v>
      </c>
      <c r="B7196" t="str">
        <f>"CE1630"</f>
        <v>CE1630</v>
      </c>
      <c r="C7196" t="s">
        <v>7070</v>
      </c>
    </row>
    <row r="7197" spans="1:3" x14ac:dyDescent="0.25">
      <c r="A7197" t="str">
        <f>"0611863086050"</f>
        <v>0611863086050</v>
      </c>
      <c r="B7197" t="str">
        <f>"CE1349"</f>
        <v>CE1349</v>
      </c>
      <c r="C7197" t="s">
        <v>7071</v>
      </c>
    </row>
    <row r="7198" spans="1:3" x14ac:dyDescent="0.25">
      <c r="A7198" t="str">
        <f>"0611863087050"</f>
        <v>0611863087050</v>
      </c>
      <c r="B7198" t="str">
        <f>"CE1350"</f>
        <v>CE1350</v>
      </c>
      <c r="C7198" t="s">
        <v>7072</v>
      </c>
    </row>
    <row r="7199" spans="1:3" x14ac:dyDescent="0.25">
      <c r="A7199" t="str">
        <f>"0611863088050"</f>
        <v>0611863088050</v>
      </c>
      <c r="B7199" t="str">
        <f>"CE1351"</f>
        <v>CE1351</v>
      </c>
      <c r="C7199" t="s">
        <v>7073</v>
      </c>
    </row>
    <row r="7200" spans="1:3" x14ac:dyDescent="0.25">
      <c r="A7200" t="str">
        <f>"0611884281050"</f>
        <v>0611884281050</v>
      </c>
      <c r="B7200" t="str">
        <f>"CE1746"</f>
        <v>CE1746</v>
      </c>
      <c r="C7200" t="s">
        <v>7074</v>
      </c>
    </row>
    <row r="7201" spans="1:3" x14ac:dyDescent="0.25">
      <c r="A7201" t="str">
        <f>"0611863089050"</f>
        <v>0611863089050</v>
      </c>
      <c r="B7201" t="str">
        <f>"CE1651"</f>
        <v>CE1651</v>
      </c>
      <c r="C7201" t="s">
        <v>7075</v>
      </c>
    </row>
    <row r="7202" spans="1:3" x14ac:dyDescent="0.25">
      <c r="A7202" t="str">
        <f>"0611863090050"</f>
        <v>0611863090050</v>
      </c>
      <c r="B7202" t="str">
        <f>"CE1278"</f>
        <v>CE1278</v>
      </c>
      <c r="C7202" t="s">
        <v>7076</v>
      </c>
    </row>
    <row r="7203" spans="1:3" x14ac:dyDescent="0.25">
      <c r="A7203" t="str">
        <f>"0611863091050"</f>
        <v>0611863091050</v>
      </c>
      <c r="B7203" t="str">
        <f>"CE1352"</f>
        <v>CE1352</v>
      </c>
      <c r="C7203" t="s">
        <v>7077</v>
      </c>
    </row>
    <row r="7204" spans="1:3" x14ac:dyDescent="0.25">
      <c r="A7204" t="str">
        <f>"0611863092050"</f>
        <v>0611863092050</v>
      </c>
      <c r="B7204" t="str">
        <f>"CE1353"</f>
        <v>CE1353</v>
      </c>
      <c r="C7204" t="s">
        <v>7078</v>
      </c>
    </row>
    <row r="7205" spans="1:3" x14ac:dyDescent="0.25">
      <c r="A7205" t="str">
        <f>"0611863093050"</f>
        <v>0611863093050</v>
      </c>
      <c r="B7205" t="str">
        <f>"CE1354"</f>
        <v>CE1354</v>
      </c>
      <c r="C7205" t="s">
        <v>7079</v>
      </c>
    </row>
    <row r="7206" spans="1:3" x14ac:dyDescent="0.25">
      <c r="A7206" t="str">
        <f>"0611863094050"</f>
        <v>0611863094050</v>
      </c>
      <c r="B7206" t="str">
        <f>"CE1652"</f>
        <v>CE1652</v>
      </c>
      <c r="C7206" t="s">
        <v>7080</v>
      </c>
    </row>
    <row r="7207" spans="1:3" x14ac:dyDescent="0.25">
      <c r="A7207" t="str">
        <f>"0611863095050"</f>
        <v>0611863095050</v>
      </c>
      <c r="B7207" t="str">
        <f>"CE1653"</f>
        <v>CE1653</v>
      </c>
      <c r="C7207" t="s">
        <v>7081</v>
      </c>
    </row>
    <row r="7208" spans="1:3" x14ac:dyDescent="0.25">
      <c r="A7208" t="str">
        <f>"0611863096050"</f>
        <v>0611863096050</v>
      </c>
      <c r="B7208" t="str">
        <f>"CE1654"</f>
        <v>CE1654</v>
      </c>
      <c r="C7208" t="s">
        <v>7082</v>
      </c>
    </row>
    <row r="7209" spans="1:3" x14ac:dyDescent="0.25">
      <c r="A7209" t="str">
        <f>"0611863097050"</f>
        <v>0611863097050</v>
      </c>
      <c r="B7209" t="str">
        <f>"CE1655"</f>
        <v>CE1655</v>
      </c>
      <c r="C7209" t="s">
        <v>7083</v>
      </c>
    </row>
    <row r="7210" spans="1:3" x14ac:dyDescent="0.25">
      <c r="A7210" t="str">
        <f>"0611835994100"</f>
        <v>0611835994100</v>
      </c>
      <c r="B7210" t="str">
        <f>"LB4281"</f>
        <v>LB4281</v>
      </c>
      <c r="C7210" t="s">
        <v>7084</v>
      </c>
    </row>
    <row r="7211" spans="1:3" x14ac:dyDescent="0.25">
      <c r="A7211" t="str">
        <f>"0611836001100"</f>
        <v>0611836001100</v>
      </c>
      <c r="B7211" t="str">
        <f>"LS0072"</f>
        <v>LS0072</v>
      </c>
      <c r="C7211" t="s">
        <v>7094</v>
      </c>
    </row>
    <row r="7212" spans="1:3" x14ac:dyDescent="0.25">
      <c r="A7212" t="str">
        <f>"0611835995100"</f>
        <v>0611835995100</v>
      </c>
      <c r="B7212" t="str">
        <f>"LK2880"</f>
        <v>LK2880</v>
      </c>
      <c r="C7212" t="s">
        <v>7085</v>
      </c>
    </row>
    <row r="7213" spans="1:3" x14ac:dyDescent="0.25">
      <c r="A7213" t="str">
        <f>"0611835996100"</f>
        <v>0611835996100</v>
      </c>
      <c r="B7213" t="str">
        <f>"LB4290"</f>
        <v>LB4290</v>
      </c>
      <c r="C7213" t="s">
        <v>7086</v>
      </c>
    </row>
    <row r="7214" spans="1:3" x14ac:dyDescent="0.25">
      <c r="A7214" t="str">
        <f>"0611863101050"</f>
        <v>0611863101050</v>
      </c>
      <c r="B7214" t="str">
        <f>"CR2362"</f>
        <v>CR2362</v>
      </c>
      <c r="C7214" t="s">
        <v>7087</v>
      </c>
    </row>
    <row r="7215" spans="1:3" x14ac:dyDescent="0.25">
      <c r="A7215" t="str">
        <f>"0611835997100"</f>
        <v>0611835997100</v>
      </c>
      <c r="B7215" t="str">
        <f>"LB4315"</f>
        <v>LB4315</v>
      </c>
      <c r="C7215" t="s">
        <v>7088</v>
      </c>
    </row>
    <row r="7216" spans="1:3" x14ac:dyDescent="0.25">
      <c r="A7216" t="str">
        <f>"0611863102050"</f>
        <v>0611863102050</v>
      </c>
      <c r="B7216" t="str">
        <f>"CR2363"</f>
        <v>CR2363</v>
      </c>
      <c r="C7216" t="s">
        <v>7089</v>
      </c>
    </row>
    <row r="7217" spans="1:3" x14ac:dyDescent="0.25">
      <c r="A7217" t="str">
        <f>"0611835998100"</f>
        <v>0611835998100</v>
      </c>
      <c r="B7217" t="str">
        <f>"LQ0849"</f>
        <v>LQ0849</v>
      </c>
      <c r="C7217" t="s">
        <v>7090</v>
      </c>
    </row>
    <row r="7218" spans="1:3" x14ac:dyDescent="0.25">
      <c r="A7218" t="str">
        <f>"0611857015100"</f>
        <v>0611857015100</v>
      </c>
      <c r="B7218" t="str">
        <f>"LQ3886"</f>
        <v>LQ3886</v>
      </c>
      <c r="C7218" t="s">
        <v>7091</v>
      </c>
    </row>
    <row r="7219" spans="1:3" x14ac:dyDescent="0.25">
      <c r="A7219" t="str">
        <f>"0611836000100"</f>
        <v>0611836000100</v>
      </c>
      <c r="B7219" t="str">
        <f>"LQ6161"</f>
        <v>LQ6161</v>
      </c>
      <c r="C7219" t="s">
        <v>7092</v>
      </c>
    </row>
    <row r="7220" spans="1:3" x14ac:dyDescent="0.25">
      <c r="A7220" t="str">
        <f>"0611836005100"</f>
        <v>0611836005100</v>
      </c>
      <c r="B7220" t="str">
        <f>"MB4200"</f>
        <v>MB4200</v>
      </c>
      <c r="C7220" t="s">
        <v>7093</v>
      </c>
    </row>
    <row r="7221" spans="1:3" x14ac:dyDescent="0.25">
      <c r="A7221" t="str">
        <f>"0611836002100"</f>
        <v>0611836002100</v>
      </c>
      <c r="B7221" t="str">
        <f>"LB4287"</f>
        <v>LB4287</v>
      </c>
      <c r="C7221" t="s">
        <v>7095</v>
      </c>
    </row>
    <row r="7222" spans="1:3" x14ac:dyDescent="0.25">
      <c r="A7222" t="str">
        <f>"0611836003100"</f>
        <v>0611836003100</v>
      </c>
      <c r="B7222" t="str">
        <f>"LB4286"</f>
        <v>LB4286</v>
      </c>
      <c r="C7222" t="s">
        <v>7096</v>
      </c>
    </row>
    <row r="7223" spans="1:3" x14ac:dyDescent="0.25">
      <c r="A7223" t="str">
        <f>"0611863103050"</f>
        <v>0611863103050</v>
      </c>
      <c r="B7223" t="str">
        <f>"CR3891"</f>
        <v>CR3891</v>
      </c>
      <c r="C7223" t="s">
        <v>7097</v>
      </c>
    </row>
    <row r="7224" spans="1:3" x14ac:dyDescent="0.25">
      <c r="A7224" t="str">
        <f>"0611863104050"</f>
        <v>0611863104050</v>
      </c>
      <c r="B7224" t="str">
        <f>"CR2971"</f>
        <v>CR2971</v>
      </c>
      <c r="C7224" t="s">
        <v>7098</v>
      </c>
    </row>
    <row r="7225" spans="1:3" x14ac:dyDescent="0.25">
      <c r="A7225" t="str">
        <f>"0611863105050"</f>
        <v>0611863105050</v>
      </c>
      <c r="B7225" t="str">
        <f>"CR3120"</f>
        <v>CR3120</v>
      </c>
      <c r="C7225" t="s">
        <v>7099</v>
      </c>
    </row>
    <row r="7226" spans="1:3" x14ac:dyDescent="0.25">
      <c r="A7226" t="str">
        <f>"0611863106050"</f>
        <v>0611863106050</v>
      </c>
      <c r="B7226" t="str">
        <f>"CR3971"</f>
        <v>CR3971</v>
      </c>
      <c r="C7226" t="s">
        <v>7100</v>
      </c>
    </row>
    <row r="7227" spans="1:3" x14ac:dyDescent="0.25">
      <c r="A7227" t="str">
        <f>"0611863107050"</f>
        <v>0611863107050</v>
      </c>
      <c r="B7227" t="str">
        <f>"CR3869"</f>
        <v>CR3869</v>
      </c>
      <c r="C7227" t="s">
        <v>7101</v>
      </c>
    </row>
    <row r="7228" spans="1:3" x14ac:dyDescent="0.25">
      <c r="A7228" t="str">
        <f>"0611863108050"</f>
        <v>0611863108050</v>
      </c>
      <c r="B7228" t="str">
        <f>"CR3871"</f>
        <v>CR3871</v>
      </c>
      <c r="C7228" t="s">
        <v>7102</v>
      </c>
    </row>
    <row r="7229" spans="1:3" x14ac:dyDescent="0.25">
      <c r="A7229" t="str">
        <f>"0611863109050"</f>
        <v>0611863109050</v>
      </c>
      <c r="B7229" t="str">
        <f>"CR3721"</f>
        <v>CR3721</v>
      </c>
      <c r="C7229" t="s">
        <v>7103</v>
      </c>
    </row>
    <row r="7230" spans="1:3" x14ac:dyDescent="0.25">
      <c r="A7230" t="str">
        <f>"0611863110050"</f>
        <v>0611863110050</v>
      </c>
      <c r="B7230" t="str">
        <f>"CR3722"</f>
        <v>CR3722</v>
      </c>
      <c r="C7230" t="s">
        <v>7104</v>
      </c>
    </row>
    <row r="7231" spans="1:3" x14ac:dyDescent="0.25">
      <c r="A7231" t="str">
        <f>"0611863111050"</f>
        <v>0611863111050</v>
      </c>
      <c r="B7231" t="str">
        <f>"CR3872"</f>
        <v>CR3872</v>
      </c>
      <c r="C7231" t="s">
        <v>7105</v>
      </c>
    </row>
    <row r="7232" spans="1:3" x14ac:dyDescent="0.25">
      <c r="A7232" t="str">
        <f>"0611863112050"</f>
        <v>0611863112050</v>
      </c>
      <c r="B7232" t="str">
        <f>"CR3870"</f>
        <v>CR3870</v>
      </c>
      <c r="C7232" t="s">
        <v>7106</v>
      </c>
    </row>
    <row r="7233" spans="1:3" x14ac:dyDescent="0.25">
      <c r="A7233" t="str">
        <f>"0611863113050"</f>
        <v>0611863113050</v>
      </c>
      <c r="B7233" t="str">
        <f>"CR3873"</f>
        <v>CR3873</v>
      </c>
      <c r="C7233" t="s">
        <v>7107</v>
      </c>
    </row>
    <row r="7234" spans="1:3" x14ac:dyDescent="0.25">
      <c r="A7234" t="str">
        <f>"0611863114050"</f>
        <v>0611863114050</v>
      </c>
      <c r="B7234" t="str">
        <f>"CR3121"</f>
        <v>CR3121</v>
      </c>
      <c r="C7234" t="s">
        <v>7108</v>
      </c>
    </row>
    <row r="7235" spans="1:3" x14ac:dyDescent="0.25">
      <c r="A7235" t="str">
        <f>"0611863115050"</f>
        <v>0611863115050</v>
      </c>
      <c r="B7235" t="str">
        <f>"CR2972"</f>
        <v>CR2972</v>
      </c>
      <c r="C7235" t="s">
        <v>7109</v>
      </c>
    </row>
    <row r="7236" spans="1:3" x14ac:dyDescent="0.25">
      <c r="A7236" t="str">
        <f>"0611863116050"</f>
        <v>0611863116050</v>
      </c>
      <c r="B7236" t="str">
        <f>"CR3122"</f>
        <v>CR3122</v>
      </c>
      <c r="C7236" t="s">
        <v>7110</v>
      </c>
    </row>
    <row r="7237" spans="1:3" x14ac:dyDescent="0.25">
      <c r="A7237" t="str">
        <f>"0611863117050"</f>
        <v>0611863117050</v>
      </c>
      <c r="B7237" t="str">
        <f>"CR5193"</f>
        <v>CR5193</v>
      </c>
      <c r="C7237" t="s">
        <v>7111</v>
      </c>
    </row>
    <row r="7238" spans="1:3" x14ac:dyDescent="0.25">
      <c r="A7238" t="str">
        <f>"0611863118050"</f>
        <v>0611863118050</v>
      </c>
      <c r="B7238" t="str">
        <f>"CR5070"</f>
        <v>CR5070</v>
      </c>
      <c r="C7238" t="s">
        <v>7112</v>
      </c>
    </row>
    <row r="7239" spans="1:3" x14ac:dyDescent="0.25">
      <c r="A7239" t="str">
        <f>"0611863119050"</f>
        <v>0611863119050</v>
      </c>
      <c r="B7239" t="str">
        <f>"CR5040"</f>
        <v>CR5040</v>
      </c>
      <c r="C7239" t="s">
        <v>7113</v>
      </c>
    </row>
    <row r="7240" spans="1:3" x14ac:dyDescent="0.25">
      <c r="A7240" t="str">
        <f>"0611863120050"</f>
        <v>0611863120050</v>
      </c>
      <c r="B7240" t="str">
        <f>"CR4962"</f>
        <v>CR4962</v>
      </c>
      <c r="C7240" t="s">
        <v>7114</v>
      </c>
    </row>
    <row r="7241" spans="1:3" x14ac:dyDescent="0.25">
      <c r="A7241" t="str">
        <f>"0611863121050"</f>
        <v>0611863121050</v>
      </c>
      <c r="B7241" t="str">
        <f>"CR5194"</f>
        <v>CR5194</v>
      </c>
      <c r="C7241" t="s">
        <v>7115</v>
      </c>
    </row>
    <row r="7242" spans="1:3" x14ac:dyDescent="0.25">
      <c r="A7242" t="str">
        <f>"0611863122050"</f>
        <v>0611863122050</v>
      </c>
      <c r="B7242" t="str">
        <f>"CR4963"</f>
        <v>CR4963</v>
      </c>
      <c r="C7242" t="s">
        <v>13904</v>
      </c>
    </row>
    <row r="7243" spans="1:3" x14ac:dyDescent="0.25">
      <c r="A7243" t="str">
        <f>"0611863123050"</f>
        <v>0611863123050</v>
      </c>
      <c r="B7243" t="str">
        <f>"CR5039"</f>
        <v>CR5039</v>
      </c>
      <c r="C7243" t="s">
        <v>7116</v>
      </c>
    </row>
    <row r="7244" spans="1:3" x14ac:dyDescent="0.25">
      <c r="A7244" t="str">
        <f>"0611863124050"</f>
        <v>0611863124050</v>
      </c>
      <c r="B7244" t="str">
        <f>"CR4964"</f>
        <v>CR4964</v>
      </c>
      <c r="C7244" t="s">
        <v>7117</v>
      </c>
    </row>
    <row r="7245" spans="1:3" x14ac:dyDescent="0.25">
      <c r="A7245" t="str">
        <f>"0611863125050"</f>
        <v>0611863125050</v>
      </c>
      <c r="B7245" t="str">
        <f>"CR4965"</f>
        <v>CR4965</v>
      </c>
      <c r="C7245" t="s">
        <v>7118</v>
      </c>
    </row>
    <row r="7246" spans="1:3" x14ac:dyDescent="0.25">
      <c r="A7246" t="str">
        <f>"0611863126050"</f>
        <v>0611863126050</v>
      </c>
      <c r="B7246" t="str">
        <f>"CR4966"</f>
        <v>CR4966</v>
      </c>
      <c r="C7246" t="s">
        <v>7119</v>
      </c>
    </row>
    <row r="7247" spans="1:3" x14ac:dyDescent="0.25">
      <c r="A7247" t="str">
        <f>"0611893620050"</f>
        <v>0611893620050</v>
      </c>
      <c r="B7247" t="str">
        <f>"CR5444"</f>
        <v>CR5444</v>
      </c>
      <c r="C7247" t="s">
        <v>7120</v>
      </c>
    </row>
    <row r="7248" spans="1:3" x14ac:dyDescent="0.25">
      <c r="A7248" t="str">
        <f>"0611863127050"</f>
        <v>0611863127050</v>
      </c>
      <c r="B7248" t="str">
        <f>"CR5031"</f>
        <v>CR5031</v>
      </c>
      <c r="C7248" t="s">
        <v>7121</v>
      </c>
    </row>
    <row r="7249" spans="1:3" x14ac:dyDescent="0.25">
      <c r="A7249" t="str">
        <f>"0611863128050"</f>
        <v>0611863128050</v>
      </c>
      <c r="B7249" t="str">
        <f>"CE1279"</f>
        <v>CE1279</v>
      </c>
      <c r="C7249" t="s">
        <v>7122</v>
      </c>
    </row>
    <row r="7250" spans="1:3" x14ac:dyDescent="0.25">
      <c r="A7250" t="str">
        <f>"0611836004100"</f>
        <v>0611836004100</v>
      </c>
      <c r="B7250" t="str">
        <f>"LB4319"</f>
        <v>LB4319</v>
      </c>
      <c r="C7250" t="s">
        <v>7123</v>
      </c>
    </row>
    <row r="7251" spans="1:3" x14ac:dyDescent="0.25">
      <c r="A7251" t="str">
        <f>"0611863129050"</f>
        <v>0611863129050</v>
      </c>
      <c r="B7251" t="str">
        <f>"CE1355"</f>
        <v>CE1355</v>
      </c>
      <c r="C7251" t="s">
        <v>7124</v>
      </c>
    </row>
    <row r="7252" spans="1:3" x14ac:dyDescent="0.25">
      <c r="A7252" t="str">
        <f>"0611863130050"</f>
        <v>0611863130050</v>
      </c>
      <c r="B7252" t="str">
        <f>"CE0871"</f>
        <v>CE0871</v>
      </c>
      <c r="C7252" t="s">
        <v>7125</v>
      </c>
    </row>
    <row r="7253" spans="1:3" x14ac:dyDescent="0.25">
      <c r="A7253" t="str">
        <f>"0611863134050"</f>
        <v>0611863134050</v>
      </c>
      <c r="B7253" t="str">
        <f>"CE0932"</f>
        <v>CE0932</v>
      </c>
      <c r="C7253" t="s">
        <v>7129</v>
      </c>
    </row>
    <row r="7254" spans="1:3" x14ac:dyDescent="0.25">
      <c r="A7254" t="str">
        <f>"0611863131050"</f>
        <v>0611863131050</v>
      </c>
      <c r="B7254" t="str">
        <f>"CE0872"</f>
        <v>CE0872</v>
      </c>
      <c r="C7254" t="s">
        <v>7126</v>
      </c>
    </row>
    <row r="7255" spans="1:3" x14ac:dyDescent="0.25">
      <c r="A7255" t="str">
        <f>"0611863132050"</f>
        <v>0611863132050</v>
      </c>
      <c r="B7255" t="str">
        <f>"CE0873"</f>
        <v>CE0873</v>
      </c>
      <c r="C7255" t="s">
        <v>7127</v>
      </c>
    </row>
    <row r="7256" spans="1:3" x14ac:dyDescent="0.25">
      <c r="A7256" t="str">
        <f>"0611863133050"</f>
        <v>0611863133050</v>
      </c>
      <c r="B7256" t="str">
        <f>"CE0874"</f>
        <v>CE0874</v>
      </c>
      <c r="C7256" t="s">
        <v>7128</v>
      </c>
    </row>
    <row r="7257" spans="1:3" x14ac:dyDescent="0.25">
      <c r="A7257" t="str">
        <f>"0611863138050"</f>
        <v>0611863138050</v>
      </c>
      <c r="B7257" t="str">
        <f>"CR3384"</f>
        <v>CR3384</v>
      </c>
      <c r="C7257" t="s">
        <v>7147</v>
      </c>
    </row>
    <row r="7258" spans="1:3" x14ac:dyDescent="0.25">
      <c r="A7258" t="str">
        <f>"0611836024100"</f>
        <v>0611836024100</v>
      </c>
      <c r="B7258" t="str">
        <f>"LB4289"</f>
        <v>LB4289</v>
      </c>
      <c r="C7258" t="s">
        <v>7146</v>
      </c>
    </row>
    <row r="7259" spans="1:3" x14ac:dyDescent="0.25">
      <c r="A7259" t="str">
        <f>"0611836006100"</f>
        <v>0611836006100</v>
      </c>
      <c r="B7259" t="str">
        <f>"LK5649"</f>
        <v>LK5649</v>
      </c>
      <c r="C7259" t="s">
        <v>7130</v>
      </c>
    </row>
    <row r="7260" spans="1:3" x14ac:dyDescent="0.25">
      <c r="A7260" t="str">
        <f>"0611863135050"</f>
        <v>0611863135050</v>
      </c>
      <c r="B7260" t="str">
        <f>"CR4140"</f>
        <v>CR4140</v>
      </c>
      <c r="C7260" t="s">
        <v>7131</v>
      </c>
    </row>
    <row r="7261" spans="1:3" x14ac:dyDescent="0.25">
      <c r="A7261" t="str">
        <f>"0611863136050"</f>
        <v>0611863136050</v>
      </c>
      <c r="B7261" t="str">
        <f>"CR2369"</f>
        <v>CR2369</v>
      </c>
      <c r="C7261" t="s">
        <v>7132</v>
      </c>
    </row>
    <row r="7262" spans="1:3" x14ac:dyDescent="0.25">
      <c r="A7262" t="str">
        <f>"0611836009100"</f>
        <v>0611836009100</v>
      </c>
      <c r="B7262" t="str">
        <f>"LB4320"</f>
        <v>LB4320</v>
      </c>
      <c r="C7262" t="s">
        <v>7133</v>
      </c>
    </row>
    <row r="7263" spans="1:3" x14ac:dyDescent="0.25">
      <c r="A7263" t="str">
        <f>"0611836010100"</f>
        <v>0611836010100</v>
      </c>
      <c r="B7263" t="str">
        <f>"LK3258"</f>
        <v>LK3258</v>
      </c>
      <c r="C7263" t="s">
        <v>7134</v>
      </c>
    </row>
    <row r="7264" spans="1:3" x14ac:dyDescent="0.25">
      <c r="A7264" t="str">
        <f>"0611836011100"</f>
        <v>0611836011100</v>
      </c>
      <c r="B7264" t="str">
        <f>"LB4321"</f>
        <v>LB4321</v>
      </c>
      <c r="C7264" t="s">
        <v>7135</v>
      </c>
    </row>
    <row r="7265" spans="1:3" x14ac:dyDescent="0.25">
      <c r="A7265" t="str">
        <f>"0611836025100"</f>
        <v>0611836025100</v>
      </c>
      <c r="B7265" t="str">
        <f>"LB4283"</f>
        <v>LB4283</v>
      </c>
      <c r="C7265" t="s">
        <v>7148</v>
      </c>
    </row>
    <row r="7266" spans="1:3" x14ac:dyDescent="0.25">
      <c r="A7266" t="str">
        <f>"0611836012100"</f>
        <v>0611836012100</v>
      </c>
      <c r="B7266" t="str">
        <f>"LB4322"</f>
        <v>LB4322</v>
      </c>
      <c r="C7266" t="s">
        <v>7136</v>
      </c>
    </row>
    <row r="7267" spans="1:3" x14ac:dyDescent="0.25">
      <c r="A7267" t="str">
        <f>"0611836013100"</f>
        <v>0611836013100</v>
      </c>
      <c r="B7267" t="str">
        <f>"LB4317"</f>
        <v>LB4317</v>
      </c>
      <c r="C7267" t="s">
        <v>7137</v>
      </c>
    </row>
    <row r="7268" spans="1:3" x14ac:dyDescent="0.25">
      <c r="A7268" t="str">
        <f>"0611836014100"</f>
        <v>0611836014100</v>
      </c>
      <c r="B7268" t="str">
        <f>"LK2599"</f>
        <v>LK2599</v>
      </c>
      <c r="C7268" t="s">
        <v>7138</v>
      </c>
    </row>
    <row r="7269" spans="1:3" x14ac:dyDescent="0.25">
      <c r="A7269" t="str">
        <f>"0611836017100"</f>
        <v>0611836017100</v>
      </c>
      <c r="B7269" t="str">
        <f>"LB4288"</f>
        <v>LB4288</v>
      </c>
      <c r="C7269" t="s">
        <v>7139</v>
      </c>
    </row>
    <row r="7270" spans="1:3" x14ac:dyDescent="0.25">
      <c r="A7270" t="str">
        <f>"0611836018100"</f>
        <v>0611836018100</v>
      </c>
      <c r="B7270" t="str">
        <f>"LQ3243"</f>
        <v>LQ3243</v>
      </c>
      <c r="C7270" t="s">
        <v>7140</v>
      </c>
    </row>
    <row r="7271" spans="1:3" x14ac:dyDescent="0.25">
      <c r="A7271" t="str">
        <f>"0611836019025"</f>
        <v>0611836019025</v>
      </c>
      <c r="B7271" t="str">
        <f>"MC2267"</f>
        <v>MC2267</v>
      </c>
      <c r="C7271" t="s">
        <v>7141</v>
      </c>
    </row>
    <row r="7272" spans="1:3" x14ac:dyDescent="0.25">
      <c r="A7272" t="str">
        <f>"0611857016100"</f>
        <v>0611857016100</v>
      </c>
      <c r="B7272" t="str">
        <f>"LQ3887"</f>
        <v>LQ3887</v>
      </c>
      <c r="C7272" t="s">
        <v>7142</v>
      </c>
    </row>
    <row r="7273" spans="1:3" x14ac:dyDescent="0.25">
      <c r="A7273" t="str">
        <f>"0611836020100"</f>
        <v>0611836020100</v>
      </c>
      <c r="B7273" t="str">
        <f>"LQ3836"</f>
        <v>LQ3836</v>
      </c>
      <c r="C7273" t="s">
        <v>7143</v>
      </c>
    </row>
    <row r="7274" spans="1:3" x14ac:dyDescent="0.25">
      <c r="A7274" t="str">
        <f>"0611836021100"</f>
        <v>0611836021100</v>
      </c>
      <c r="B7274" t="str">
        <f>"LQ3837"</f>
        <v>LQ3837</v>
      </c>
      <c r="C7274" t="s">
        <v>7144</v>
      </c>
    </row>
    <row r="7275" spans="1:3" x14ac:dyDescent="0.25">
      <c r="A7275" t="str">
        <f>"0611836022100"</f>
        <v>0611836022100</v>
      </c>
      <c r="B7275" t="str">
        <f>"LQ3838"</f>
        <v>LQ3838</v>
      </c>
      <c r="C7275" t="s">
        <v>7145</v>
      </c>
    </row>
    <row r="7276" spans="1:3" x14ac:dyDescent="0.25">
      <c r="A7276" t="str">
        <f>"0611836027100"</f>
        <v>0611836027100</v>
      </c>
      <c r="B7276" t="str">
        <f>"LK5650"</f>
        <v>LK5650</v>
      </c>
      <c r="C7276" t="s">
        <v>7151</v>
      </c>
    </row>
    <row r="7277" spans="1:3" x14ac:dyDescent="0.25">
      <c r="A7277" t="str">
        <f>"0611836028100"</f>
        <v>0611836028100</v>
      </c>
      <c r="B7277" t="str">
        <f>"LB4324"</f>
        <v>LB4324</v>
      </c>
      <c r="C7277" t="s">
        <v>7152</v>
      </c>
    </row>
    <row r="7278" spans="1:3" x14ac:dyDescent="0.25">
      <c r="A7278" t="str">
        <f>"0611863139050"</f>
        <v>0611863139050</v>
      </c>
      <c r="B7278" t="str">
        <f>"CR2975"</f>
        <v>CR2975</v>
      </c>
      <c r="C7278" t="s">
        <v>7149</v>
      </c>
    </row>
    <row r="7279" spans="1:3" x14ac:dyDescent="0.25">
      <c r="A7279" t="str">
        <f>"0611836026100"</f>
        <v>0611836026100</v>
      </c>
      <c r="B7279" t="str">
        <f>"LB4303"</f>
        <v>LB4303</v>
      </c>
      <c r="C7279" t="s">
        <v>7150</v>
      </c>
    </row>
    <row r="7280" spans="1:3" x14ac:dyDescent="0.25">
      <c r="A7280" t="str">
        <f>"0611836029100"</f>
        <v>0611836029100</v>
      </c>
      <c r="B7280" t="str">
        <f>"LB4325"</f>
        <v>LB4325</v>
      </c>
      <c r="C7280" t="s">
        <v>7153</v>
      </c>
    </row>
    <row r="7281" spans="1:3" x14ac:dyDescent="0.25">
      <c r="A7281" t="str">
        <f>"0611833296100"</f>
        <v>0611833296100</v>
      </c>
      <c r="B7281" t="str">
        <f>"LK0213"</f>
        <v>LK0213</v>
      </c>
      <c r="C7281" t="s">
        <v>7154</v>
      </c>
    </row>
    <row r="7282" spans="1:3" x14ac:dyDescent="0.25">
      <c r="A7282" t="str">
        <f>"0611833295100"</f>
        <v>0611833295100</v>
      </c>
      <c r="B7282" t="str">
        <f>"LB4390"</f>
        <v>LB4390</v>
      </c>
      <c r="C7282" t="s">
        <v>7155</v>
      </c>
    </row>
    <row r="7283" spans="1:3" x14ac:dyDescent="0.25">
      <c r="A7283" t="str">
        <f>"0611836030100"</f>
        <v>0611836030100</v>
      </c>
      <c r="B7283" t="str">
        <f>"LK5371"</f>
        <v>LK5371</v>
      </c>
      <c r="C7283" t="s">
        <v>7156</v>
      </c>
    </row>
    <row r="7284" spans="1:3" x14ac:dyDescent="0.25">
      <c r="A7284" t="str">
        <f>"0611836034100"</f>
        <v>0611836034100</v>
      </c>
      <c r="B7284" t="str">
        <f>"LB8990"</f>
        <v>LB8990</v>
      </c>
      <c r="C7284" t="s">
        <v>7160</v>
      </c>
    </row>
    <row r="7285" spans="1:3" x14ac:dyDescent="0.25">
      <c r="A7285" t="str">
        <f>"0611836031100"</f>
        <v>0611836031100</v>
      </c>
      <c r="B7285" t="str">
        <f>"LK3514"</f>
        <v>LK3514</v>
      </c>
      <c r="C7285" t="s">
        <v>7157</v>
      </c>
    </row>
    <row r="7286" spans="1:3" x14ac:dyDescent="0.25">
      <c r="A7286" t="str">
        <f>"0611836032025"</f>
        <v>0611836032025</v>
      </c>
      <c r="B7286" t="str">
        <f>"MC0464"</f>
        <v>MC0464</v>
      </c>
      <c r="C7286" t="s">
        <v>7158</v>
      </c>
    </row>
    <row r="7287" spans="1:3" x14ac:dyDescent="0.25">
      <c r="A7287" t="str">
        <f>"0611836033100"</f>
        <v>0611836033100</v>
      </c>
      <c r="B7287" t="str">
        <f>"LB8993"</f>
        <v>LB8993</v>
      </c>
      <c r="C7287" t="s">
        <v>7159</v>
      </c>
    </row>
    <row r="7288" spans="1:3" x14ac:dyDescent="0.25">
      <c r="A7288" t="str">
        <f>"0611835027025"</f>
        <v>0611835027025</v>
      </c>
      <c r="B7288" t="str">
        <f>"MQ0553"</f>
        <v>MQ0553</v>
      </c>
      <c r="C7288" t="s">
        <v>7169</v>
      </c>
    </row>
    <row r="7289" spans="1:3" x14ac:dyDescent="0.25">
      <c r="A7289" t="str">
        <f>"0611863140100"</f>
        <v>0611863140100</v>
      </c>
      <c r="B7289" t="str">
        <f>"CN5227"</f>
        <v>CN5227</v>
      </c>
      <c r="C7289" t="s">
        <v>7170</v>
      </c>
    </row>
    <row r="7290" spans="1:3" x14ac:dyDescent="0.25">
      <c r="A7290" t="str">
        <f>"0611835028025"</f>
        <v>0611835028025</v>
      </c>
      <c r="B7290" t="str">
        <f>"MQ0716"</f>
        <v>MQ0716</v>
      </c>
      <c r="C7290" t="s">
        <v>7171</v>
      </c>
    </row>
    <row r="7291" spans="1:3" x14ac:dyDescent="0.25">
      <c r="A7291" t="str">
        <f>"0611906825025"</f>
        <v>0611906825025</v>
      </c>
      <c r="B7291" t="str">
        <f>"MQ7595"</f>
        <v>MQ7595</v>
      </c>
      <c r="C7291" t="s">
        <v>7172</v>
      </c>
    </row>
    <row r="7292" spans="1:3" x14ac:dyDescent="0.25">
      <c r="A7292" t="str">
        <f>"0611835031025"</f>
        <v>0611835031025</v>
      </c>
      <c r="B7292" t="str">
        <f>"MQ3166"</f>
        <v>MQ3166</v>
      </c>
      <c r="C7292" t="s">
        <v>7175</v>
      </c>
    </row>
    <row r="7293" spans="1:3" x14ac:dyDescent="0.25">
      <c r="A7293" t="str">
        <f>"0611835030025"</f>
        <v>0611835030025</v>
      </c>
      <c r="B7293" t="str">
        <f>"MQ3167"</f>
        <v>MQ3167</v>
      </c>
      <c r="C7293" t="s">
        <v>7173</v>
      </c>
    </row>
    <row r="7294" spans="1:3" x14ac:dyDescent="0.25">
      <c r="A7294" t="str">
        <f>"0611906826025"</f>
        <v>0611906826025</v>
      </c>
      <c r="B7294" t="str">
        <f>"MQ7596"</f>
        <v>MQ7596</v>
      </c>
      <c r="C7294" t="s">
        <v>7174</v>
      </c>
    </row>
    <row r="7295" spans="1:3" x14ac:dyDescent="0.25">
      <c r="A7295" t="str">
        <f>"0611884282025"</f>
        <v>0611884282025</v>
      </c>
      <c r="B7295" t="str">
        <f>"MQ0832"</f>
        <v>MQ0832</v>
      </c>
      <c r="C7295" t="s">
        <v>7176</v>
      </c>
    </row>
    <row r="7296" spans="1:3" x14ac:dyDescent="0.25">
      <c r="A7296" t="str">
        <f>"0611906827025"</f>
        <v>0611906827025</v>
      </c>
      <c r="B7296" t="str">
        <f>"MQ7597"</f>
        <v>MQ7597</v>
      </c>
      <c r="C7296" t="s">
        <v>7177</v>
      </c>
    </row>
    <row r="7297" spans="1:3" x14ac:dyDescent="0.25">
      <c r="A7297" t="str">
        <f>"0611835032025"</f>
        <v>0611835032025</v>
      </c>
      <c r="B7297" t="str">
        <f>"MQ0100"</f>
        <v>MQ0100</v>
      </c>
      <c r="C7297" t="s">
        <v>7178</v>
      </c>
    </row>
    <row r="7298" spans="1:3" x14ac:dyDescent="0.25">
      <c r="A7298" t="str">
        <f>"0611856974025"</f>
        <v>0611856974025</v>
      </c>
      <c r="B7298" t="str">
        <f>"MQ0099"</f>
        <v>MQ0099</v>
      </c>
      <c r="C7298" t="s">
        <v>7179</v>
      </c>
    </row>
    <row r="7299" spans="1:3" x14ac:dyDescent="0.25">
      <c r="A7299" t="str">
        <f>"0611835033025"</f>
        <v>0611835033025</v>
      </c>
      <c r="B7299" t="str">
        <f>"MQ3168"</f>
        <v>MQ3168</v>
      </c>
      <c r="C7299" t="s">
        <v>7180</v>
      </c>
    </row>
    <row r="7300" spans="1:3" x14ac:dyDescent="0.25">
      <c r="A7300" t="str">
        <f>"0611884283025"</f>
        <v>0611884283025</v>
      </c>
      <c r="B7300" t="str">
        <f>"MQ0833"</f>
        <v>MQ0833</v>
      </c>
      <c r="C7300" t="s">
        <v>7181</v>
      </c>
    </row>
    <row r="7301" spans="1:3" x14ac:dyDescent="0.25">
      <c r="A7301" t="str">
        <f>"0611835036025"</f>
        <v>0611835036025</v>
      </c>
      <c r="B7301" t="str">
        <f>"MC4337"</f>
        <v>MC4337</v>
      </c>
      <c r="C7301" t="s">
        <v>7182</v>
      </c>
    </row>
    <row r="7302" spans="1:3" x14ac:dyDescent="0.25">
      <c r="A7302" t="str">
        <f>"0611863142050"</f>
        <v>0611863142050</v>
      </c>
      <c r="B7302" t="str">
        <f>"CE0991"</f>
        <v>CE0991</v>
      </c>
      <c r="C7302" t="s">
        <v>7183</v>
      </c>
    </row>
    <row r="7303" spans="1:3" x14ac:dyDescent="0.25">
      <c r="A7303" t="str">
        <f>"0611835037025"</f>
        <v>0611835037025</v>
      </c>
      <c r="B7303" t="str">
        <f>"MC4292"</f>
        <v>MC4292</v>
      </c>
      <c r="C7303" t="s">
        <v>7184</v>
      </c>
    </row>
    <row r="7304" spans="1:3" x14ac:dyDescent="0.25">
      <c r="A7304" t="str">
        <f>"0611835038100"</f>
        <v>0611835038100</v>
      </c>
      <c r="B7304" t="str">
        <f>"LH0022"</f>
        <v>LH0022</v>
      </c>
      <c r="C7304" t="s">
        <v>7185</v>
      </c>
    </row>
    <row r="7305" spans="1:3" x14ac:dyDescent="0.25">
      <c r="A7305" t="str">
        <f>"0611835039025"</f>
        <v>0611835039025</v>
      </c>
      <c r="B7305" t="str">
        <f>"MC4350"</f>
        <v>MC4350</v>
      </c>
      <c r="C7305" t="s">
        <v>7186</v>
      </c>
    </row>
    <row r="7306" spans="1:3" x14ac:dyDescent="0.25">
      <c r="A7306" t="str">
        <f>"0611835040100"</f>
        <v>0611835040100</v>
      </c>
      <c r="B7306" t="str">
        <f>"LH0023"</f>
        <v>LH0023</v>
      </c>
      <c r="C7306" t="s">
        <v>7187</v>
      </c>
    </row>
    <row r="7307" spans="1:3" x14ac:dyDescent="0.25">
      <c r="A7307" t="str">
        <f>"0611835041025"</f>
        <v>0611835041025</v>
      </c>
      <c r="B7307" t="str">
        <f>"MC4351"</f>
        <v>MC4351</v>
      </c>
      <c r="C7307" t="s">
        <v>7188</v>
      </c>
    </row>
    <row r="7308" spans="1:3" x14ac:dyDescent="0.25">
      <c r="A7308" t="str">
        <f>"0611835042100"</f>
        <v>0611835042100</v>
      </c>
      <c r="B7308" t="str">
        <f>"LH0001"</f>
        <v>LH0001</v>
      </c>
      <c r="C7308" t="s">
        <v>7189</v>
      </c>
    </row>
    <row r="7309" spans="1:3" x14ac:dyDescent="0.25">
      <c r="A7309" t="str">
        <f>"0611835043025"</f>
        <v>0611835043025</v>
      </c>
      <c r="B7309" t="str">
        <f>"MC4268"</f>
        <v>MC4268</v>
      </c>
      <c r="C7309" t="s">
        <v>7190</v>
      </c>
    </row>
    <row r="7310" spans="1:3" x14ac:dyDescent="0.25">
      <c r="A7310" t="str">
        <f>"0611835044100"</f>
        <v>0611835044100</v>
      </c>
      <c r="B7310" t="str">
        <f>"LH8917"</f>
        <v>LH8917</v>
      </c>
      <c r="C7310" t="s">
        <v>7191</v>
      </c>
    </row>
    <row r="7311" spans="1:3" x14ac:dyDescent="0.25">
      <c r="A7311" t="str">
        <f>"0611835045025"</f>
        <v>0611835045025</v>
      </c>
      <c r="B7311" t="str">
        <f>"MC4222"</f>
        <v>MC4222</v>
      </c>
      <c r="C7311" t="s">
        <v>7192</v>
      </c>
    </row>
    <row r="7312" spans="1:3" x14ac:dyDescent="0.25">
      <c r="A7312" t="str">
        <f>"0611884284025"</f>
        <v>0611884284025</v>
      </c>
      <c r="B7312" t="str">
        <f>"MC4478"</f>
        <v>MC4478</v>
      </c>
      <c r="C7312" t="s">
        <v>7193</v>
      </c>
    </row>
    <row r="7313" spans="1:3" x14ac:dyDescent="0.25">
      <c r="A7313" t="str">
        <f>"0611884285025"</f>
        <v>0611884285025</v>
      </c>
      <c r="B7313" t="str">
        <f>"MC4479"</f>
        <v>MC4479</v>
      </c>
      <c r="C7313" t="s">
        <v>7194</v>
      </c>
    </row>
    <row r="7314" spans="1:3" x14ac:dyDescent="0.25">
      <c r="A7314" t="str">
        <f>"0611884286025"</f>
        <v>0611884286025</v>
      </c>
      <c r="B7314" t="str">
        <f>"MC4480"</f>
        <v>MC4480</v>
      </c>
      <c r="C7314" t="s">
        <v>7195</v>
      </c>
    </row>
    <row r="7315" spans="1:3" x14ac:dyDescent="0.25">
      <c r="A7315" t="str">
        <f>"0611863143100"</f>
        <v>0611863143100</v>
      </c>
      <c r="B7315" t="str">
        <f>"CN5220"</f>
        <v>CN5220</v>
      </c>
      <c r="C7315" t="s">
        <v>7197</v>
      </c>
    </row>
    <row r="7316" spans="1:3" x14ac:dyDescent="0.25">
      <c r="A7316" t="str">
        <f>"0611835046025"</f>
        <v>0611835046025</v>
      </c>
      <c r="B7316" t="str">
        <f>"MQ0299"</f>
        <v>MQ0299</v>
      </c>
      <c r="C7316" t="s">
        <v>7196</v>
      </c>
    </row>
    <row r="7317" spans="1:3" x14ac:dyDescent="0.25">
      <c r="A7317" t="str">
        <f>"0611906828025"</f>
        <v>0611906828025</v>
      </c>
      <c r="B7317" t="str">
        <f>"MQ7158"</f>
        <v>MQ7158</v>
      </c>
      <c r="C7317" t="s">
        <v>7198</v>
      </c>
    </row>
    <row r="7318" spans="1:3" x14ac:dyDescent="0.25">
      <c r="A7318" t="str">
        <f>"0611863144100"</f>
        <v>0611863144100</v>
      </c>
      <c r="B7318" t="str">
        <f>"CN2377"</f>
        <v>CN2377</v>
      </c>
      <c r="C7318" t="s">
        <v>7200</v>
      </c>
    </row>
    <row r="7319" spans="1:3" x14ac:dyDescent="0.25">
      <c r="A7319" t="str">
        <f>"0611835047025"</f>
        <v>0611835047025</v>
      </c>
      <c r="B7319" t="str">
        <f>"MC4293"</f>
        <v>MC4293</v>
      </c>
      <c r="C7319" t="s">
        <v>7199</v>
      </c>
    </row>
    <row r="7320" spans="1:3" x14ac:dyDescent="0.25">
      <c r="A7320" t="str">
        <f>"0611863145050"</f>
        <v>0611863145050</v>
      </c>
      <c r="B7320" t="str">
        <f>"CR4347"</f>
        <v>CR4347</v>
      </c>
      <c r="C7320" t="s">
        <v>7201</v>
      </c>
    </row>
    <row r="7321" spans="1:3" x14ac:dyDescent="0.25">
      <c r="A7321" t="str">
        <f>"0611906829100"</f>
        <v>0611906829100</v>
      </c>
      <c r="B7321" t="str">
        <f>"LQ4001"</f>
        <v>LQ4001</v>
      </c>
      <c r="C7321" t="s">
        <v>7202</v>
      </c>
    </row>
    <row r="7322" spans="1:3" x14ac:dyDescent="0.25">
      <c r="A7322" t="str">
        <f>"0611884287025"</f>
        <v>0611884287025</v>
      </c>
      <c r="B7322" t="str">
        <f>"MC4525"</f>
        <v>MC4525</v>
      </c>
      <c r="C7322" t="s">
        <v>7203</v>
      </c>
    </row>
    <row r="7323" spans="1:3" x14ac:dyDescent="0.25">
      <c r="A7323" t="str">
        <f>"0611863146100"</f>
        <v>0611863146100</v>
      </c>
      <c r="B7323" t="str">
        <f>"CN5225"</f>
        <v>CN5225</v>
      </c>
      <c r="C7323" t="s">
        <v>7204</v>
      </c>
    </row>
    <row r="7324" spans="1:3" x14ac:dyDescent="0.25">
      <c r="A7324" t="str">
        <f>"0611835054025"</f>
        <v>0611835054025</v>
      </c>
      <c r="B7324" t="str">
        <f>"MC2285"</f>
        <v>MC2285</v>
      </c>
      <c r="C7324" t="s">
        <v>7205</v>
      </c>
    </row>
    <row r="7325" spans="1:3" x14ac:dyDescent="0.25">
      <c r="A7325" t="str">
        <f>"0611884288025"</f>
        <v>0611884288025</v>
      </c>
      <c r="B7325" t="str">
        <f>"MC4481"</f>
        <v>MC4481</v>
      </c>
      <c r="C7325" t="s">
        <v>7206</v>
      </c>
    </row>
    <row r="7326" spans="1:3" x14ac:dyDescent="0.25">
      <c r="A7326" t="str">
        <f>"0611835055025"</f>
        <v>0611835055025</v>
      </c>
      <c r="B7326" t="str">
        <f>"MC3040"</f>
        <v>MC3040</v>
      </c>
      <c r="C7326" t="s">
        <v>7207</v>
      </c>
    </row>
    <row r="7327" spans="1:3" x14ac:dyDescent="0.25">
      <c r="A7327" t="str">
        <f>"0611835056025"</f>
        <v>0611835056025</v>
      </c>
      <c r="B7327" t="str">
        <f>"MC3748"</f>
        <v>MC3748</v>
      </c>
      <c r="C7327" t="s">
        <v>7208</v>
      </c>
    </row>
    <row r="7328" spans="1:3" x14ac:dyDescent="0.25">
      <c r="A7328" t="str">
        <f>"0611835057025"</f>
        <v>0611835057025</v>
      </c>
      <c r="B7328" t="str">
        <f>"MC3298"</f>
        <v>MC3298</v>
      </c>
      <c r="C7328" t="s">
        <v>7209</v>
      </c>
    </row>
    <row r="7329" spans="1:3" x14ac:dyDescent="0.25">
      <c r="A7329" t="str">
        <f>"0611835059025"</f>
        <v>0611835059025</v>
      </c>
      <c r="B7329" t="str">
        <f>"MC4047"</f>
        <v>MC4047</v>
      </c>
      <c r="C7329" t="s">
        <v>7210</v>
      </c>
    </row>
    <row r="7330" spans="1:3" x14ac:dyDescent="0.25">
      <c r="A7330" t="str">
        <f>"0611835060025"</f>
        <v>0611835060025</v>
      </c>
      <c r="B7330" t="str">
        <f>"MC3424"</f>
        <v>MC3424</v>
      </c>
      <c r="C7330" t="s">
        <v>7211</v>
      </c>
    </row>
    <row r="7331" spans="1:3" x14ac:dyDescent="0.25">
      <c r="A7331" t="str">
        <f>"0611835061100"</f>
        <v>0611835061100</v>
      </c>
      <c r="B7331" t="str">
        <f>"LC7305"</f>
        <v>LC7305</v>
      </c>
      <c r="C7331" t="s">
        <v>7212</v>
      </c>
    </row>
    <row r="7332" spans="1:3" x14ac:dyDescent="0.25">
      <c r="A7332" t="str">
        <f>"0611835062025"</f>
        <v>0611835062025</v>
      </c>
      <c r="B7332" t="str">
        <f>"MC0468"</f>
        <v>MC0468</v>
      </c>
      <c r="C7332" t="s">
        <v>7213</v>
      </c>
    </row>
    <row r="7333" spans="1:3" x14ac:dyDescent="0.25">
      <c r="A7333" t="str">
        <f>"0611835064100"</f>
        <v>0611835064100</v>
      </c>
      <c r="B7333" t="str">
        <f>"LC9617"</f>
        <v>LC9617</v>
      </c>
      <c r="C7333" t="s">
        <v>7214</v>
      </c>
    </row>
    <row r="7334" spans="1:3" x14ac:dyDescent="0.25">
      <c r="A7334" t="str">
        <f>"0611835065100"</f>
        <v>0611835065100</v>
      </c>
      <c r="B7334" t="str">
        <f>"LC7311"</f>
        <v>LC7311</v>
      </c>
      <c r="C7334" t="s">
        <v>7215</v>
      </c>
    </row>
    <row r="7335" spans="1:3" x14ac:dyDescent="0.25">
      <c r="A7335" t="str">
        <f>"0611835066025"</f>
        <v>0611835066025</v>
      </c>
      <c r="B7335" t="str">
        <f>"MC3746"</f>
        <v>MC3746</v>
      </c>
      <c r="C7335" t="s">
        <v>7216</v>
      </c>
    </row>
    <row r="7336" spans="1:3" x14ac:dyDescent="0.25">
      <c r="A7336" t="str">
        <f>"0611836046100"</f>
        <v>0611836046100</v>
      </c>
      <c r="B7336" t="str">
        <f>"LC7301"</f>
        <v>LC7301</v>
      </c>
      <c r="C7336" t="s">
        <v>7217</v>
      </c>
    </row>
    <row r="7337" spans="1:3" x14ac:dyDescent="0.25">
      <c r="A7337" t="str">
        <f>"0611835082100"</f>
        <v>0611835082100</v>
      </c>
      <c r="B7337" t="str">
        <f>"LC7306"</f>
        <v>LC7306</v>
      </c>
      <c r="C7337" t="s">
        <v>7218</v>
      </c>
    </row>
    <row r="7338" spans="1:3" x14ac:dyDescent="0.25">
      <c r="A7338" t="str">
        <f>"0611835083025"</f>
        <v>0611835083025</v>
      </c>
      <c r="B7338" t="str">
        <f>"MC0792"</f>
        <v>MC0792</v>
      </c>
      <c r="C7338" t="s">
        <v>7219</v>
      </c>
    </row>
    <row r="7339" spans="1:3" x14ac:dyDescent="0.25">
      <c r="A7339" t="str">
        <f>"0611835067100"</f>
        <v>0611835067100</v>
      </c>
      <c r="B7339" t="str">
        <f>"LC7317"</f>
        <v>LC7317</v>
      </c>
      <c r="C7339" t="s">
        <v>7220</v>
      </c>
    </row>
    <row r="7340" spans="1:3" x14ac:dyDescent="0.25">
      <c r="A7340" t="str">
        <f>"0611863147100"</f>
        <v>0611863147100</v>
      </c>
      <c r="B7340" t="str">
        <f>"CN5236"</f>
        <v>CN5236</v>
      </c>
      <c r="C7340" t="s">
        <v>7221</v>
      </c>
    </row>
    <row r="7341" spans="1:3" x14ac:dyDescent="0.25">
      <c r="A7341" t="str">
        <f>"0611835068025"</f>
        <v>0611835068025</v>
      </c>
      <c r="B7341" t="str">
        <f>"MC1468"</f>
        <v>MC1468</v>
      </c>
      <c r="C7341" t="s">
        <v>7222</v>
      </c>
    </row>
    <row r="7342" spans="1:3" x14ac:dyDescent="0.25">
      <c r="A7342" t="str">
        <f>"0611835069100"</f>
        <v>0611835069100</v>
      </c>
      <c r="B7342" t="str">
        <f>"LC7308"</f>
        <v>LC7308</v>
      </c>
      <c r="C7342" t="s">
        <v>7223</v>
      </c>
    </row>
    <row r="7343" spans="1:3" x14ac:dyDescent="0.25">
      <c r="A7343" t="str">
        <f>"0611863149100"</f>
        <v>0611863149100</v>
      </c>
      <c r="B7343" t="str">
        <f>"CN5237"</f>
        <v>CN5237</v>
      </c>
      <c r="C7343" t="s">
        <v>7224</v>
      </c>
    </row>
    <row r="7344" spans="1:3" x14ac:dyDescent="0.25">
      <c r="A7344" t="str">
        <f>"0611835070025"</f>
        <v>0611835070025</v>
      </c>
      <c r="B7344" t="str">
        <f>"MC1658"</f>
        <v>MC1658</v>
      </c>
      <c r="C7344" t="s">
        <v>7225</v>
      </c>
    </row>
    <row r="7345" spans="1:3" x14ac:dyDescent="0.25">
      <c r="A7345" t="str">
        <f>"0611863150050"</f>
        <v>0611863150050</v>
      </c>
      <c r="B7345" t="str">
        <f>"CR4364"</f>
        <v>CR4364</v>
      </c>
      <c r="C7345" t="s">
        <v>7226</v>
      </c>
    </row>
    <row r="7346" spans="1:3" x14ac:dyDescent="0.25">
      <c r="A7346" t="str">
        <f>"0611835071100"</f>
        <v>0611835071100</v>
      </c>
      <c r="B7346" t="str">
        <f>"LC7312"</f>
        <v>LC7312</v>
      </c>
      <c r="C7346" t="s">
        <v>7227</v>
      </c>
    </row>
    <row r="7347" spans="1:3" x14ac:dyDescent="0.25">
      <c r="A7347" t="str">
        <f>"0611863151100"</f>
        <v>0611863151100</v>
      </c>
      <c r="B7347" t="str">
        <f>"CN5221"</f>
        <v>CN5221</v>
      </c>
      <c r="C7347" t="s">
        <v>7229</v>
      </c>
    </row>
    <row r="7348" spans="1:3" x14ac:dyDescent="0.25">
      <c r="A7348" t="str">
        <f>"0611835072025"</f>
        <v>0611835072025</v>
      </c>
      <c r="B7348" t="str">
        <f>"MC0465"</f>
        <v>MC0465</v>
      </c>
      <c r="C7348" t="s">
        <v>7228</v>
      </c>
    </row>
    <row r="7349" spans="1:3" x14ac:dyDescent="0.25">
      <c r="A7349" t="str">
        <f>"0611835073025"</f>
        <v>0611835073025</v>
      </c>
      <c r="B7349" t="str">
        <f>"MC2493"</f>
        <v>MC2493</v>
      </c>
      <c r="C7349" t="s">
        <v>7230</v>
      </c>
    </row>
    <row r="7350" spans="1:3" x14ac:dyDescent="0.25">
      <c r="A7350" t="str">
        <f>"0611863152050"</f>
        <v>0611863152050</v>
      </c>
      <c r="B7350" t="str">
        <f>"CR4351"</f>
        <v>CR4351</v>
      </c>
      <c r="C7350" t="s">
        <v>7231</v>
      </c>
    </row>
    <row r="7351" spans="1:3" x14ac:dyDescent="0.25">
      <c r="A7351" t="str">
        <f>"0611856975025"</f>
        <v>0611856975025</v>
      </c>
      <c r="B7351" t="str">
        <f>"MC4443"</f>
        <v>MC4443</v>
      </c>
      <c r="C7351" t="s">
        <v>7232</v>
      </c>
    </row>
    <row r="7352" spans="1:3" x14ac:dyDescent="0.25">
      <c r="A7352" t="str">
        <f>"0611835074025"</f>
        <v>0611835074025</v>
      </c>
      <c r="B7352" t="str">
        <f>"MQ0510"</f>
        <v>MQ0510</v>
      </c>
      <c r="C7352" t="s">
        <v>7239</v>
      </c>
    </row>
    <row r="7353" spans="1:3" x14ac:dyDescent="0.25">
      <c r="A7353" t="str">
        <f>"0611863153050"</f>
        <v>0611863153050</v>
      </c>
      <c r="B7353" t="str">
        <f>"CE0996"</f>
        <v>CE0996</v>
      </c>
      <c r="C7353" t="s">
        <v>7233</v>
      </c>
    </row>
    <row r="7354" spans="1:3" x14ac:dyDescent="0.25">
      <c r="A7354" t="str">
        <f>"0611835075025"</f>
        <v>0611835075025</v>
      </c>
      <c r="B7354" t="str">
        <f>"MQ0511"</f>
        <v>MQ0511</v>
      </c>
      <c r="C7354" t="s">
        <v>7240</v>
      </c>
    </row>
    <row r="7355" spans="1:3" x14ac:dyDescent="0.25">
      <c r="A7355" t="str">
        <f>"0611863154050"</f>
        <v>0611863154050</v>
      </c>
      <c r="B7355" t="str">
        <f>"CE0997"</f>
        <v>CE0997</v>
      </c>
      <c r="C7355" t="s">
        <v>7234</v>
      </c>
    </row>
    <row r="7356" spans="1:3" x14ac:dyDescent="0.25">
      <c r="A7356" t="str">
        <f>"0611863155050"</f>
        <v>0611863155050</v>
      </c>
      <c r="B7356" t="str">
        <f>"CE1356"</f>
        <v>CE1356</v>
      </c>
      <c r="C7356" t="s">
        <v>7235</v>
      </c>
    </row>
    <row r="7357" spans="1:3" x14ac:dyDescent="0.25">
      <c r="A7357" t="str">
        <f>"0611835076025"</f>
        <v>0611835076025</v>
      </c>
      <c r="B7357" t="str">
        <f>"MQ6043"</f>
        <v>MQ6043</v>
      </c>
      <c r="C7357" t="s">
        <v>7237</v>
      </c>
    </row>
    <row r="7358" spans="1:3" x14ac:dyDescent="0.25">
      <c r="A7358" t="str">
        <f>"0611863156050"</f>
        <v>0611863156050</v>
      </c>
      <c r="B7358" t="str">
        <f>"CE1257"</f>
        <v>CE1257</v>
      </c>
      <c r="C7358" t="s">
        <v>7236</v>
      </c>
    </row>
    <row r="7359" spans="1:3" x14ac:dyDescent="0.25">
      <c r="A7359" t="str">
        <f>"0611906830025"</f>
        <v>0611906830025</v>
      </c>
      <c r="B7359" t="str">
        <f>"MQ7598"</f>
        <v>MQ7598</v>
      </c>
      <c r="C7359" t="s">
        <v>7238</v>
      </c>
    </row>
    <row r="7360" spans="1:3" x14ac:dyDescent="0.25">
      <c r="A7360" t="str">
        <f>"0611893621100"</f>
        <v>0611893621100</v>
      </c>
      <c r="B7360" t="str">
        <f>"CN5442"</f>
        <v>CN5442</v>
      </c>
      <c r="C7360" t="s">
        <v>7241</v>
      </c>
    </row>
    <row r="7361" spans="1:3" x14ac:dyDescent="0.25">
      <c r="A7361" t="str">
        <f>"0611863157100"</f>
        <v>0611863157100</v>
      </c>
      <c r="B7361" t="str">
        <f>"CN2310"</f>
        <v>CN2310</v>
      </c>
      <c r="C7361" t="s">
        <v>7242</v>
      </c>
    </row>
    <row r="7362" spans="1:3" x14ac:dyDescent="0.25">
      <c r="A7362" t="str">
        <f>"0611863158100"</f>
        <v>0611863158100</v>
      </c>
      <c r="B7362" t="str">
        <f>"CN2311"</f>
        <v>CN2311</v>
      </c>
      <c r="C7362" t="s">
        <v>7243</v>
      </c>
    </row>
    <row r="7363" spans="1:3" x14ac:dyDescent="0.25">
      <c r="A7363" t="str">
        <f>"0611863160100"</f>
        <v>0611863160100</v>
      </c>
      <c r="B7363" t="str">
        <f>"CN5226"</f>
        <v>CN5226</v>
      </c>
      <c r="C7363" t="s">
        <v>7244</v>
      </c>
    </row>
    <row r="7364" spans="1:3" x14ac:dyDescent="0.25">
      <c r="A7364" t="str">
        <f>"0611884289100"</f>
        <v>0611884289100</v>
      </c>
      <c r="B7364" t="str">
        <f>"CN2376"</f>
        <v>CN2376</v>
      </c>
      <c r="C7364" t="s">
        <v>7245</v>
      </c>
    </row>
    <row r="7365" spans="1:3" x14ac:dyDescent="0.25">
      <c r="A7365" t="str">
        <f>"0611863163100"</f>
        <v>0611863163100</v>
      </c>
      <c r="B7365" t="str">
        <f>"CN5228"</f>
        <v>CN5228</v>
      </c>
      <c r="C7365" t="s">
        <v>7248</v>
      </c>
    </row>
    <row r="7366" spans="1:3" x14ac:dyDescent="0.25">
      <c r="A7366" t="str">
        <f>"0611863172100"</f>
        <v>0611863172100</v>
      </c>
      <c r="B7366" t="str">
        <f>"CN5230"</f>
        <v>CN5230</v>
      </c>
      <c r="C7366" t="s">
        <v>7280</v>
      </c>
    </row>
    <row r="7367" spans="1:3" x14ac:dyDescent="0.25">
      <c r="A7367" t="str">
        <f>"0611863161100"</f>
        <v>0611863161100</v>
      </c>
      <c r="B7367" t="str">
        <f>"CN5231"</f>
        <v>CN5231</v>
      </c>
      <c r="C7367" t="s">
        <v>7246</v>
      </c>
    </row>
    <row r="7368" spans="1:3" x14ac:dyDescent="0.25">
      <c r="A7368" t="str">
        <f>"0611863173050"</f>
        <v>0611863173050</v>
      </c>
      <c r="B7368" t="str">
        <f>"CR4356"</f>
        <v>CR4356</v>
      </c>
      <c r="C7368" t="s">
        <v>7281</v>
      </c>
    </row>
    <row r="7369" spans="1:3" x14ac:dyDescent="0.25">
      <c r="A7369" t="str">
        <f>"0611863162100"</f>
        <v>0611863162100</v>
      </c>
      <c r="B7369" t="str">
        <f>"CN5232"</f>
        <v>CN5232</v>
      </c>
      <c r="C7369" t="s">
        <v>7247</v>
      </c>
    </row>
    <row r="7370" spans="1:3" x14ac:dyDescent="0.25">
      <c r="A7370" t="str">
        <f>"0611863174050"</f>
        <v>0611863174050</v>
      </c>
      <c r="B7370" t="str">
        <f>"CR4357"</f>
        <v>CR4357</v>
      </c>
      <c r="C7370" t="s">
        <v>7282</v>
      </c>
    </row>
    <row r="7371" spans="1:3" x14ac:dyDescent="0.25">
      <c r="A7371" t="str">
        <f>"0611893622100"</f>
        <v>0611893622100</v>
      </c>
      <c r="B7371" t="str">
        <f>"CN5458"</f>
        <v>CN5458</v>
      </c>
      <c r="C7371" t="s">
        <v>7249</v>
      </c>
    </row>
    <row r="7372" spans="1:3" x14ac:dyDescent="0.25">
      <c r="A7372" t="str">
        <f>"0611863165100"</f>
        <v>0611863165100</v>
      </c>
      <c r="B7372" t="str">
        <f>"CN5216"</f>
        <v>CN5216</v>
      </c>
      <c r="C7372" t="s">
        <v>7250</v>
      </c>
    </row>
    <row r="7373" spans="1:3" x14ac:dyDescent="0.25">
      <c r="A7373" t="str">
        <f>"0611863166100"</f>
        <v>0611863166100</v>
      </c>
      <c r="B7373" t="str">
        <f>"CN5217"</f>
        <v>CN5217</v>
      </c>
      <c r="C7373" t="s">
        <v>7251</v>
      </c>
    </row>
    <row r="7374" spans="1:3" x14ac:dyDescent="0.25">
      <c r="A7374" t="str">
        <f>"0611863167100"</f>
        <v>0611863167100</v>
      </c>
      <c r="B7374" t="str">
        <f>"CN5218"</f>
        <v>CN5218</v>
      </c>
      <c r="C7374" t="s">
        <v>7252</v>
      </c>
    </row>
    <row r="7375" spans="1:3" x14ac:dyDescent="0.25">
      <c r="A7375" t="str">
        <f>"0611863168100"</f>
        <v>0611863168100</v>
      </c>
      <c r="B7375" t="str">
        <f>"CN5219"</f>
        <v>CN5219</v>
      </c>
      <c r="C7375" t="s">
        <v>7253</v>
      </c>
    </row>
    <row r="7376" spans="1:3" x14ac:dyDescent="0.25">
      <c r="A7376" t="str">
        <f>"0611893623100"</f>
        <v>0611893623100</v>
      </c>
      <c r="B7376" t="str">
        <f>"CN2484"</f>
        <v>CN2484</v>
      </c>
      <c r="C7376" t="s">
        <v>7254</v>
      </c>
    </row>
    <row r="7377" spans="1:3" x14ac:dyDescent="0.25">
      <c r="A7377" t="str">
        <f>"0611863159100"</f>
        <v>0611863159100</v>
      </c>
      <c r="B7377" t="str">
        <f>"CN2312"</f>
        <v>CN2312</v>
      </c>
      <c r="C7377" t="s">
        <v>7255</v>
      </c>
    </row>
    <row r="7378" spans="1:3" x14ac:dyDescent="0.25">
      <c r="A7378" t="str">
        <f>"0611835078100"</f>
        <v>0611835078100</v>
      </c>
      <c r="B7378" t="str">
        <f>"LC7300"</f>
        <v>LC7300</v>
      </c>
      <c r="C7378" t="s">
        <v>7256</v>
      </c>
    </row>
    <row r="7379" spans="1:3" x14ac:dyDescent="0.25">
      <c r="A7379" t="str">
        <f>"0611835079025"</f>
        <v>0611835079025</v>
      </c>
      <c r="B7379" t="str">
        <f>"MC4100"</f>
        <v>MC4100</v>
      </c>
      <c r="C7379" t="s">
        <v>7257</v>
      </c>
    </row>
    <row r="7380" spans="1:3" x14ac:dyDescent="0.25">
      <c r="A7380" t="str">
        <f>"0611835080025"</f>
        <v>0611835080025</v>
      </c>
      <c r="B7380" t="str">
        <f>"MC3139"</f>
        <v>MC3139</v>
      </c>
      <c r="C7380" t="s">
        <v>7258</v>
      </c>
    </row>
    <row r="7381" spans="1:3" x14ac:dyDescent="0.25">
      <c r="A7381" t="str">
        <f>"0611835081100"</f>
        <v>0611835081100</v>
      </c>
      <c r="B7381" t="str">
        <f>"LQ6024"</f>
        <v>LQ6024</v>
      </c>
      <c r="C7381" t="s">
        <v>7259</v>
      </c>
    </row>
    <row r="7382" spans="1:3" x14ac:dyDescent="0.25">
      <c r="A7382" t="str">
        <f>"0611906831025"</f>
        <v>0611906831025</v>
      </c>
      <c r="B7382" t="str">
        <f>"MQ7599"</f>
        <v>MQ7599</v>
      </c>
      <c r="C7382" t="s">
        <v>7260</v>
      </c>
    </row>
    <row r="7383" spans="1:3" x14ac:dyDescent="0.25">
      <c r="A7383" t="str">
        <f>"0611906832025"</f>
        <v>0611906832025</v>
      </c>
      <c r="B7383" t="str">
        <f>"MQ7600"</f>
        <v>MQ7600</v>
      </c>
      <c r="C7383" t="s">
        <v>7261</v>
      </c>
    </row>
    <row r="7384" spans="1:3" x14ac:dyDescent="0.25">
      <c r="A7384" t="str">
        <f>"0611856976025"</f>
        <v>0611856976025</v>
      </c>
      <c r="B7384" t="str">
        <f>"MQ0788"</f>
        <v>MQ0788</v>
      </c>
      <c r="C7384" t="s">
        <v>7262</v>
      </c>
    </row>
    <row r="7385" spans="1:3" x14ac:dyDescent="0.25">
      <c r="A7385" t="str">
        <f>"0611884290100"</f>
        <v>0611884290100</v>
      </c>
      <c r="B7385" t="str">
        <f>"LQ3935"</f>
        <v>LQ3935</v>
      </c>
      <c r="C7385" t="s">
        <v>7263</v>
      </c>
    </row>
    <row r="7386" spans="1:3" x14ac:dyDescent="0.25">
      <c r="A7386" t="str">
        <f>"0611835084025"</f>
        <v>0611835084025</v>
      </c>
      <c r="B7386" t="str">
        <f>"MQ6044"</f>
        <v>MQ6044</v>
      </c>
      <c r="C7386" t="s">
        <v>7264</v>
      </c>
    </row>
    <row r="7387" spans="1:3" x14ac:dyDescent="0.25">
      <c r="A7387" t="str">
        <f>"0611884291025"</f>
        <v>0611884291025</v>
      </c>
      <c r="B7387" t="str">
        <f>"MQ0834"</f>
        <v>MQ0834</v>
      </c>
      <c r="C7387" t="s">
        <v>7265</v>
      </c>
    </row>
    <row r="7388" spans="1:3" x14ac:dyDescent="0.25">
      <c r="A7388" t="str">
        <f>"0611835088025"</f>
        <v>0611835088025</v>
      </c>
      <c r="B7388" t="str">
        <f>"MQ0514"</f>
        <v>MQ0514</v>
      </c>
      <c r="C7388" t="s">
        <v>7266</v>
      </c>
    </row>
    <row r="7389" spans="1:3" x14ac:dyDescent="0.25">
      <c r="A7389" t="str">
        <f>"0611835089025"</f>
        <v>0611835089025</v>
      </c>
      <c r="B7389" t="str">
        <f>"MQ0512"</f>
        <v>MQ0512</v>
      </c>
      <c r="C7389" t="s">
        <v>7267</v>
      </c>
    </row>
    <row r="7390" spans="1:3" x14ac:dyDescent="0.25">
      <c r="A7390" t="str">
        <f>"0611835090025"</f>
        <v>0611835090025</v>
      </c>
      <c r="B7390" t="str">
        <f>"MQ0513"</f>
        <v>MQ0513</v>
      </c>
      <c r="C7390" t="s">
        <v>7268</v>
      </c>
    </row>
    <row r="7391" spans="1:3" x14ac:dyDescent="0.25">
      <c r="A7391" t="str">
        <f>"0611835092025"</f>
        <v>0611835092025</v>
      </c>
      <c r="B7391" t="str">
        <f>"MQ0579"</f>
        <v>MQ0579</v>
      </c>
      <c r="C7391" t="s">
        <v>7269</v>
      </c>
    </row>
    <row r="7392" spans="1:3" x14ac:dyDescent="0.25">
      <c r="A7392" t="str">
        <f>"0611835093025"</f>
        <v>0611835093025</v>
      </c>
      <c r="B7392" t="str">
        <f>"MQ0515"</f>
        <v>MQ0515</v>
      </c>
      <c r="C7392" t="s">
        <v>7270</v>
      </c>
    </row>
    <row r="7393" spans="1:3" x14ac:dyDescent="0.25">
      <c r="A7393" t="str">
        <f>"0611835094025"</f>
        <v>0611835094025</v>
      </c>
      <c r="B7393" t="str">
        <f>"MQ0516"</f>
        <v>MQ0516</v>
      </c>
      <c r="C7393" t="s">
        <v>7271</v>
      </c>
    </row>
    <row r="7394" spans="1:3" x14ac:dyDescent="0.25">
      <c r="A7394" t="str">
        <f>"0611835096025"</f>
        <v>0611835096025</v>
      </c>
      <c r="B7394" t="str">
        <f>"MC4221"</f>
        <v>MC4221</v>
      </c>
      <c r="C7394" t="s">
        <v>7272</v>
      </c>
    </row>
    <row r="7395" spans="1:3" x14ac:dyDescent="0.25">
      <c r="A7395" t="str">
        <f>"0611835097025"</f>
        <v>0611835097025</v>
      </c>
      <c r="B7395" t="str">
        <f>"MC3749"</f>
        <v>MC3749</v>
      </c>
      <c r="C7395" t="s">
        <v>7273</v>
      </c>
    </row>
    <row r="7396" spans="1:3" x14ac:dyDescent="0.25">
      <c r="A7396" t="str">
        <f>"0611835098100"</f>
        <v>0611835098100</v>
      </c>
      <c r="B7396" t="str">
        <f>"LC7318"</f>
        <v>LC7318</v>
      </c>
      <c r="C7396" t="s">
        <v>7274</v>
      </c>
    </row>
    <row r="7397" spans="1:3" x14ac:dyDescent="0.25">
      <c r="A7397" t="str">
        <f>"0611863169100"</f>
        <v>0611863169100</v>
      </c>
      <c r="B7397" t="str">
        <f>"CN5222"</f>
        <v>CN5222</v>
      </c>
      <c r="C7397" t="s">
        <v>7275</v>
      </c>
    </row>
    <row r="7398" spans="1:3" x14ac:dyDescent="0.25">
      <c r="A7398" t="str">
        <f>"0611835099100"</f>
        <v>0611835099100</v>
      </c>
      <c r="B7398" t="str">
        <f>"LH5190"</f>
        <v>LH5190</v>
      </c>
      <c r="C7398" t="s">
        <v>7276</v>
      </c>
    </row>
    <row r="7399" spans="1:3" x14ac:dyDescent="0.25">
      <c r="A7399" t="str">
        <f>"0611835100025"</f>
        <v>0611835100025</v>
      </c>
      <c r="B7399" t="str">
        <f>"MC0467"</f>
        <v>MC0467</v>
      </c>
      <c r="C7399" t="s">
        <v>7277</v>
      </c>
    </row>
    <row r="7400" spans="1:3" x14ac:dyDescent="0.25">
      <c r="A7400" t="str">
        <f>"0611863170100"</f>
        <v>0611863170100</v>
      </c>
      <c r="B7400" t="str">
        <f>"CN5235"</f>
        <v>CN5235</v>
      </c>
      <c r="C7400" t="s">
        <v>7278</v>
      </c>
    </row>
    <row r="7401" spans="1:3" x14ac:dyDescent="0.25">
      <c r="A7401" t="str">
        <f>"0611835102025"</f>
        <v>0611835102025</v>
      </c>
      <c r="B7401" t="str">
        <f>"MC2003"</f>
        <v>MC2003</v>
      </c>
      <c r="C7401" t="s">
        <v>7279</v>
      </c>
    </row>
    <row r="7402" spans="1:3" x14ac:dyDescent="0.25">
      <c r="A7402" t="str">
        <f>"0611835103025"</f>
        <v>0611835103025</v>
      </c>
      <c r="B7402" t="str">
        <f>"MQ0517"</f>
        <v>MQ0517</v>
      </c>
      <c r="C7402" t="s">
        <v>7283</v>
      </c>
    </row>
    <row r="7403" spans="1:3" x14ac:dyDescent="0.25">
      <c r="A7403" t="str">
        <f>"0611863177100"</f>
        <v>0611863177100</v>
      </c>
      <c r="B7403" t="str">
        <f>"CN5238"</f>
        <v>CN5238</v>
      </c>
      <c r="C7403" t="s">
        <v>7284</v>
      </c>
    </row>
    <row r="7404" spans="1:3" x14ac:dyDescent="0.25">
      <c r="A7404" t="str">
        <f>"0611835104025"</f>
        <v>0611835104025</v>
      </c>
      <c r="B7404" t="str">
        <f>"MC2001"</f>
        <v>MC2001</v>
      </c>
      <c r="C7404" t="s">
        <v>7285</v>
      </c>
    </row>
    <row r="7405" spans="1:3" x14ac:dyDescent="0.25">
      <c r="A7405" t="str">
        <f>"0611863178100"</f>
        <v>0611863178100</v>
      </c>
      <c r="B7405" t="str">
        <f>"CN5223"</f>
        <v>CN5223</v>
      </c>
      <c r="C7405" t="s">
        <v>7286</v>
      </c>
    </row>
    <row r="7406" spans="1:3" x14ac:dyDescent="0.25">
      <c r="A7406" t="str">
        <f>"0611835105025"</f>
        <v>0611835105025</v>
      </c>
      <c r="B7406" t="str">
        <f>"MQ0300"</f>
        <v>MQ0300</v>
      </c>
      <c r="C7406" t="s">
        <v>7287</v>
      </c>
    </row>
    <row r="7407" spans="1:3" x14ac:dyDescent="0.25">
      <c r="A7407" t="str">
        <f>"0611835106025"</f>
        <v>0611835106025</v>
      </c>
      <c r="B7407" t="str">
        <f>"MQ0644"</f>
        <v>MQ0644</v>
      </c>
      <c r="C7407" t="s">
        <v>7288</v>
      </c>
    </row>
    <row r="7408" spans="1:3" x14ac:dyDescent="0.25">
      <c r="A7408" t="str">
        <f>"0611835107100"</f>
        <v>0611835107100</v>
      </c>
      <c r="B7408" t="str">
        <f>"LC7315"</f>
        <v>LC7315</v>
      </c>
      <c r="C7408" t="s">
        <v>7289</v>
      </c>
    </row>
    <row r="7409" spans="1:3" x14ac:dyDescent="0.25">
      <c r="A7409" t="str">
        <f>"0611863180100"</f>
        <v>0611863180100</v>
      </c>
      <c r="B7409" t="str">
        <f>"CN5239"</f>
        <v>CN5239</v>
      </c>
      <c r="C7409" t="s">
        <v>7290</v>
      </c>
    </row>
    <row r="7410" spans="1:3" x14ac:dyDescent="0.25">
      <c r="A7410" t="str">
        <f>"0611835108025"</f>
        <v>0611835108025</v>
      </c>
      <c r="B7410" t="str">
        <f>"MC0955"</f>
        <v>MC0955</v>
      </c>
      <c r="C7410" t="s">
        <v>7291</v>
      </c>
    </row>
    <row r="7411" spans="1:3" x14ac:dyDescent="0.25">
      <c r="A7411" t="str">
        <f>"0611863182100"</f>
        <v>0611863182100</v>
      </c>
      <c r="B7411" t="str">
        <f>"CN5233"</f>
        <v>CN5233</v>
      </c>
      <c r="C7411" t="s">
        <v>7292</v>
      </c>
    </row>
    <row r="7412" spans="1:3" x14ac:dyDescent="0.25">
      <c r="A7412" t="str">
        <f>"0611835109025"</f>
        <v>0611835109025</v>
      </c>
      <c r="B7412" t="str">
        <f>"MC2747"</f>
        <v>MC2747</v>
      </c>
      <c r="C7412" t="s">
        <v>7293</v>
      </c>
    </row>
    <row r="7413" spans="1:3" x14ac:dyDescent="0.25">
      <c r="A7413" t="str">
        <f>"0611835110100"</f>
        <v>0611835110100</v>
      </c>
      <c r="B7413" t="str">
        <f>"LH0006"</f>
        <v>LH0006</v>
      </c>
      <c r="C7413" t="s">
        <v>7294</v>
      </c>
    </row>
    <row r="7414" spans="1:3" x14ac:dyDescent="0.25">
      <c r="A7414" t="str">
        <f>"0611835111025"</f>
        <v>0611835111025</v>
      </c>
      <c r="B7414" t="str">
        <f>"MQ0596"</f>
        <v>MQ0596</v>
      </c>
      <c r="C7414" t="s">
        <v>7295</v>
      </c>
    </row>
    <row r="7415" spans="1:3" x14ac:dyDescent="0.25">
      <c r="A7415" t="str">
        <f>"0611835112025"</f>
        <v>0611835112025</v>
      </c>
      <c r="B7415" t="str">
        <f>"MQ0597"</f>
        <v>MQ0597</v>
      </c>
      <c r="C7415" t="s">
        <v>7296</v>
      </c>
    </row>
    <row r="7416" spans="1:3" x14ac:dyDescent="0.25">
      <c r="A7416" t="str">
        <f>"0611835114025"</f>
        <v>0611835114025</v>
      </c>
      <c r="B7416" t="str">
        <f>"MC4385"</f>
        <v>MC4385</v>
      </c>
      <c r="C7416" t="s">
        <v>7297</v>
      </c>
    </row>
    <row r="7417" spans="1:3" x14ac:dyDescent="0.25">
      <c r="A7417" t="str">
        <f>"0611863185050"</f>
        <v>0611863185050</v>
      </c>
      <c r="B7417" t="str">
        <f>"CE1000"</f>
        <v>CE1000</v>
      </c>
      <c r="C7417" t="s">
        <v>7298</v>
      </c>
    </row>
    <row r="7418" spans="1:3" x14ac:dyDescent="0.25">
      <c r="A7418" t="str">
        <f>"0611835115025"</f>
        <v>0611835115025</v>
      </c>
      <c r="B7418" t="str">
        <f>"MQ0610"</f>
        <v>MQ0610</v>
      </c>
      <c r="C7418" t="s">
        <v>7299</v>
      </c>
    </row>
    <row r="7419" spans="1:3" x14ac:dyDescent="0.25">
      <c r="A7419" t="str">
        <f>"0611863186050"</f>
        <v>0611863186050</v>
      </c>
      <c r="B7419" t="str">
        <f>"CE1001"</f>
        <v>CE1001</v>
      </c>
      <c r="C7419" t="s">
        <v>7300</v>
      </c>
    </row>
    <row r="7420" spans="1:3" x14ac:dyDescent="0.25">
      <c r="A7420" t="str">
        <f>"0611863187050"</f>
        <v>0611863187050</v>
      </c>
      <c r="B7420" t="str">
        <f>"CE1002"</f>
        <v>CE1002</v>
      </c>
      <c r="C7420" t="s">
        <v>7301</v>
      </c>
    </row>
    <row r="7421" spans="1:3" x14ac:dyDescent="0.25">
      <c r="A7421" t="str">
        <f>"0611835117025"</f>
        <v>0611835117025</v>
      </c>
      <c r="B7421" t="str">
        <f>"MC2494"</f>
        <v>MC2494</v>
      </c>
      <c r="C7421" t="s">
        <v>7302</v>
      </c>
    </row>
    <row r="7422" spans="1:3" x14ac:dyDescent="0.25">
      <c r="A7422" t="str">
        <f>"0611836047100"</f>
        <v>0611836047100</v>
      </c>
      <c r="B7422" t="str">
        <f>"LC7302"</f>
        <v>LC7302</v>
      </c>
      <c r="C7422" t="s">
        <v>7303</v>
      </c>
    </row>
    <row r="7423" spans="1:3" x14ac:dyDescent="0.25">
      <c r="A7423" t="str">
        <f>"0611835118025"</f>
        <v>0611835118025</v>
      </c>
      <c r="B7423" t="str">
        <f>"MC3747"</f>
        <v>MC3747</v>
      </c>
      <c r="C7423" t="s">
        <v>7304</v>
      </c>
    </row>
    <row r="7424" spans="1:3" x14ac:dyDescent="0.25">
      <c r="A7424" t="str">
        <f>"0611863188100"</f>
        <v>0611863188100</v>
      </c>
      <c r="B7424" t="str">
        <f>"CN5224"</f>
        <v>CN5224</v>
      </c>
      <c r="C7424" t="s">
        <v>7306</v>
      </c>
    </row>
    <row r="7425" spans="1:3" x14ac:dyDescent="0.25">
      <c r="A7425" t="str">
        <f>"0611863189050"</f>
        <v>0611863189050</v>
      </c>
      <c r="B7425" t="str">
        <f>"CR4342"</f>
        <v>CR4342</v>
      </c>
      <c r="C7425" t="s">
        <v>7307</v>
      </c>
    </row>
    <row r="7426" spans="1:3" x14ac:dyDescent="0.25">
      <c r="A7426" t="str">
        <f>"0611835119025"</f>
        <v>0611835119025</v>
      </c>
      <c r="B7426" t="str">
        <f>"MQ3172"</f>
        <v>MQ3172</v>
      </c>
      <c r="C7426" t="s">
        <v>7305</v>
      </c>
    </row>
    <row r="7427" spans="1:3" x14ac:dyDescent="0.25">
      <c r="A7427" t="str">
        <f>"0611835120100"</f>
        <v>0611835120100</v>
      </c>
      <c r="B7427" t="str">
        <f>"LH5179"</f>
        <v>LH5179</v>
      </c>
      <c r="C7427" t="s">
        <v>7308</v>
      </c>
    </row>
    <row r="7428" spans="1:3" x14ac:dyDescent="0.25">
      <c r="A7428" t="str">
        <f>"0611835121100"</f>
        <v>0611835121100</v>
      </c>
      <c r="B7428" t="str">
        <f>"LC7316"</f>
        <v>LC7316</v>
      </c>
      <c r="C7428" t="s">
        <v>7309</v>
      </c>
    </row>
    <row r="7429" spans="1:3" x14ac:dyDescent="0.25">
      <c r="A7429" t="str">
        <f>"0611835122025"</f>
        <v>0611835122025</v>
      </c>
      <c r="B7429" t="str">
        <f>"MC3196"</f>
        <v>MC3196</v>
      </c>
      <c r="C7429" t="s">
        <v>7310</v>
      </c>
    </row>
    <row r="7430" spans="1:3" x14ac:dyDescent="0.25">
      <c r="A7430" t="str">
        <f>"0611863190050"</f>
        <v>0611863190050</v>
      </c>
      <c r="B7430" t="str">
        <f>"CE1723"</f>
        <v>CE1723</v>
      </c>
      <c r="C7430" t="s">
        <v>7313</v>
      </c>
    </row>
    <row r="7431" spans="1:3" x14ac:dyDescent="0.25">
      <c r="A7431" t="str">
        <f>"0611835123025"</f>
        <v>0611835123025</v>
      </c>
      <c r="B7431" t="str">
        <f>"MQ0645"</f>
        <v>MQ0645</v>
      </c>
      <c r="C7431" t="s">
        <v>7311</v>
      </c>
    </row>
    <row r="7432" spans="1:3" x14ac:dyDescent="0.25">
      <c r="A7432" t="str">
        <f>"0611835125025"</f>
        <v>0611835125025</v>
      </c>
      <c r="B7432" t="str">
        <f>"MQ6047"</f>
        <v>MQ6047</v>
      </c>
      <c r="C7432" t="s">
        <v>7312</v>
      </c>
    </row>
    <row r="7433" spans="1:3" x14ac:dyDescent="0.25">
      <c r="A7433" t="str">
        <f>"0611863191050"</f>
        <v>0611863191050</v>
      </c>
      <c r="B7433" t="str">
        <f>"CE1506"</f>
        <v>CE1506</v>
      </c>
      <c r="C7433" t="s">
        <v>7314</v>
      </c>
    </row>
    <row r="7434" spans="1:3" x14ac:dyDescent="0.25">
      <c r="A7434" t="str">
        <f>"0611835126025"</f>
        <v>0611835126025</v>
      </c>
      <c r="B7434" t="str">
        <f>"MQ0646"</f>
        <v>MQ0646</v>
      </c>
      <c r="C7434" t="s">
        <v>7315</v>
      </c>
    </row>
    <row r="7435" spans="1:3" x14ac:dyDescent="0.25">
      <c r="A7435" t="str">
        <f>"0611835127025"</f>
        <v>0611835127025</v>
      </c>
      <c r="B7435" t="str">
        <f>"MQ0647"</f>
        <v>MQ0647</v>
      </c>
      <c r="C7435" t="s">
        <v>7316</v>
      </c>
    </row>
    <row r="7436" spans="1:3" x14ac:dyDescent="0.25">
      <c r="A7436" t="str">
        <f>"0611836045100"</f>
        <v>0611836045100</v>
      </c>
      <c r="B7436" t="str">
        <f>"LK0214"</f>
        <v>LK0214</v>
      </c>
      <c r="C7436" t="s">
        <v>7168</v>
      </c>
    </row>
    <row r="7437" spans="1:3" x14ac:dyDescent="0.25">
      <c r="A7437" t="str">
        <f>"0611830644100"</f>
        <v>0611830644100</v>
      </c>
      <c r="B7437" t="str">
        <f>"LC7380"</f>
        <v>LC7380</v>
      </c>
      <c r="C7437" t="s">
        <v>7317</v>
      </c>
    </row>
    <row r="7438" spans="1:3" x14ac:dyDescent="0.25">
      <c r="A7438" t="str">
        <f>"0611830645100"</f>
        <v>0611830645100</v>
      </c>
      <c r="B7438" t="str">
        <f>"LL2090"</f>
        <v>LL2090</v>
      </c>
      <c r="C7438" t="s">
        <v>13905</v>
      </c>
    </row>
    <row r="7439" spans="1:3" x14ac:dyDescent="0.25">
      <c r="A7439" t="str">
        <f>"0611836758100"</f>
        <v>0611836758100</v>
      </c>
      <c r="B7439" t="str">
        <f>"LC7350"</f>
        <v>LC7350</v>
      </c>
      <c r="C7439" t="s">
        <v>7318</v>
      </c>
    </row>
    <row r="7440" spans="1:3" x14ac:dyDescent="0.25">
      <c r="A7440" t="str">
        <f>"0611836759025"</f>
        <v>0611836759025</v>
      </c>
      <c r="B7440" t="str">
        <f>"MC0795"</f>
        <v>MC0795</v>
      </c>
      <c r="C7440" t="s">
        <v>7319</v>
      </c>
    </row>
    <row r="7441" spans="1:3" x14ac:dyDescent="0.25">
      <c r="A7441" t="str">
        <f>"0611833650100"</f>
        <v>0611833650100</v>
      </c>
      <c r="B7441" t="str">
        <f>"LC7360"</f>
        <v>LC7360</v>
      </c>
      <c r="C7441" t="s">
        <v>3575</v>
      </c>
    </row>
    <row r="7442" spans="1:3" x14ac:dyDescent="0.25">
      <c r="A7442" t="str">
        <f>"0611884153025"</f>
        <v>0611884153025</v>
      </c>
      <c r="B7442" t="str">
        <f>"MC4482"</f>
        <v>MC4482</v>
      </c>
      <c r="C7442" t="s">
        <v>3574</v>
      </c>
    </row>
    <row r="7443" spans="1:3" x14ac:dyDescent="0.25">
      <c r="A7443" t="str">
        <f>"0611836048100"</f>
        <v>0611836048100</v>
      </c>
      <c r="B7443" t="str">
        <f>"LH8831"</f>
        <v>LH8831</v>
      </c>
      <c r="C7443" t="s">
        <v>7320</v>
      </c>
    </row>
    <row r="7444" spans="1:3" x14ac:dyDescent="0.25">
      <c r="A7444" t="str">
        <f>"0611836049025"</f>
        <v>0611836049025</v>
      </c>
      <c r="B7444" t="str">
        <f>"MC4015"</f>
        <v>MC4015</v>
      </c>
      <c r="C7444" t="s">
        <v>7321</v>
      </c>
    </row>
    <row r="7445" spans="1:3" x14ac:dyDescent="0.25">
      <c r="A7445" t="str">
        <f>"0611857017100"</f>
        <v>0611857017100</v>
      </c>
      <c r="B7445" t="str">
        <f>"LL5041"</f>
        <v>LL5041</v>
      </c>
      <c r="C7445" t="s">
        <v>7322</v>
      </c>
    </row>
    <row r="7446" spans="1:3" x14ac:dyDescent="0.25">
      <c r="A7446" t="str">
        <f>"0611835917100"</f>
        <v>0611835917100</v>
      </c>
      <c r="B7446" t="str">
        <f>"LL2148"</f>
        <v>LL2148</v>
      </c>
      <c r="C7446" t="s">
        <v>7323</v>
      </c>
    </row>
    <row r="7447" spans="1:3" x14ac:dyDescent="0.25">
      <c r="A7447" t="str">
        <f>"0611835918100"</f>
        <v>0611835918100</v>
      </c>
      <c r="B7447" t="str">
        <f>"LL2124"</f>
        <v>LL2124</v>
      </c>
      <c r="C7447" t="s">
        <v>7324</v>
      </c>
    </row>
    <row r="7448" spans="1:3" x14ac:dyDescent="0.25">
      <c r="A7448" t="str">
        <f>"0611835919100"</f>
        <v>0611835919100</v>
      </c>
      <c r="B7448" t="str">
        <f>"LL2125"</f>
        <v>LL2125</v>
      </c>
      <c r="C7448" t="s">
        <v>7325</v>
      </c>
    </row>
    <row r="7449" spans="1:3" x14ac:dyDescent="0.25">
      <c r="A7449" t="str">
        <f>"0611835920100"</f>
        <v>0611835920100</v>
      </c>
      <c r="B7449" t="str">
        <f>"LL2128"</f>
        <v>LL2128</v>
      </c>
      <c r="C7449" t="s">
        <v>7326</v>
      </c>
    </row>
    <row r="7450" spans="1:3" x14ac:dyDescent="0.25">
      <c r="A7450" t="str">
        <f>"0611835921200"</f>
        <v>0611835921200</v>
      </c>
      <c r="B7450" t="str">
        <f>"KY2128"</f>
        <v>KY2128</v>
      </c>
      <c r="C7450" t="s">
        <v>7327</v>
      </c>
    </row>
    <row r="7451" spans="1:3" x14ac:dyDescent="0.25">
      <c r="A7451" t="str">
        <f>"0611835922100"</f>
        <v>0611835922100</v>
      </c>
      <c r="B7451" t="str">
        <f>"LL2133"</f>
        <v>LL2133</v>
      </c>
      <c r="C7451" t="s">
        <v>7328</v>
      </c>
    </row>
    <row r="7452" spans="1:3" x14ac:dyDescent="0.25">
      <c r="A7452" t="str">
        <f>"0611835923100"</f>
        <v>0611835923100</v>
      </c>
      <c r="B7452" t="str">
        <f>"LL2131"</f>
        <v>LL2131</v>
      </c>
      <c r="C7452" t="s">
        <v>7329</v>
      </c>
    </row>
    <row r="7453" spans="1:3" x14ac:dyDescent="0.25">
      <c r="A7453" t="str">
        <f>"0611835924100"</f>
        <v>0611835924100</v>
      </c>
      <c r="B7453" t="str">
        <f>"LL8194"</f>
        <v>LL8194</v>
      </c>
      <c r="C7453" t="s">
        <v>7330</v>
      </c>
    </row>
    <row r="7454" spans="1:3" x14ac:dyDescent="0.25">
      <c r="A7454" t="str">
        <f>"0611835925100"</f>
        <v>0611835925100</v>
      </c>
      <c r="B7454" t="str">
        <f>"LL2135"</f>
        <v>LL2135</v>
      </c>
      <c r="C7454" t="s">
        <v>7331</v>
      </c>
    </row>
    <row r="7455" spans="1:3" x14ac:dyDescent="0.25">
      <c r="A7455" t="str">
        <f>"0611835926100"</f>
        <v>0611835926100</v>
      </c>
      <c r="B7455" t="str">
        <f>"LL2139"</f>
        <v>LL2139</v>
      </c>
      <c r="C7455" t="s">
        <v>7332</v>
      </c>
    </row>
    <row r="7456" spans="1:3" x14ac:dyDescent="0.25">
      <c r="A7456" t="str">
        <f>"0611835927100"</f>
        <v>0611835927100</v>
      </c>
      <c r="B7456" t="str">
        <f>"LL2137"</f>
        <v>LL2137</v>
      </c>
      <c r="C7456" t="s">
        <v>7333</v>
      </c>
    </row>
    <row r="7457" spans="1:3" x14ac:dyDescent="0.25">
      <c r="A7457" t="str">
        <f>"0611835928100"</f>
        <v>0611835928100</v>
      </c>
      <c r="B7457" t="str">
        <f>"LL2143"</f>
        <v>LL2143</v>
      </c>
      <c r="C7457" t="s">
        <v>7334</v>
      </c>
    </row>
    <row r="7458" spans="1:3" x14ac:dyDescent="0.25">
      <c r="A7458" t="str">
        <f>"0611835929100"</f>
        <v>0611835929100</v>
      </c>
      <c r="B7458" t="str">
        <f>"LL2145"</f>
        <v>LL2145</v>
      </c>
      <c r="C7458" t="s">
        <v>7335</v>
      </c>
    </row>
    <row r="7459" spans="1:3" x14ac:dyDescent="0.25">
      <c r="A7459" t="str">
        <f>"0611835930100"</f>
        <v>0611835930100</v>
      </c>
      <c r="B7459" t="str">
        <f>"LL2141"</f>
        <v>LL2141</v>
      </c>
      <c r="C7459" t="s">
        <v>7336</v>
      </c>
    </row>
    <row r="7460" spans="1:3" x14ac:dyDescent="0.25">
      <c r="A7460" t="str">
        <f>"0611835931100"</f>
        <v>0611835931100</v>
      </c>
      <c r="B7460" t="str">
        <f>"LL2146"</f>
        <v>LL2146</v>
      </c>
      <c r="C7460" t="s">
        <v>7337</v>
      </c>
    </row>
    <row r="7461" spans="1:3" x14ac:dyDescent="0.25">
      <c r="A7461" t="str">
        <f>"0611835932100"</f>
        <v>0611835932100</v>
      </c>
      <c r="B7461" t="str">
        <f>"LL2147"</f>
        <v>LL2147</v>
      </c>
      <c r="C7461" t="s">
        <v>7338</v>
      </c>
    </row>
    <row r="7462" spans="1:3" x14ac:dyDescent="0.25">
      <c r="A7462" t="str">
        <f>"0611835933100"</f>
        <v>0611835933100</v>
      </c>
      <c r="B7462" t="str">
        <f>"LL2150"</f>
        <v>LL2150</v>
      </c>
      <c r="C7462" t="s">
        <v>7339</v>
      </c>
    </row>
    <row r="7463" spans="1:3" x14ac:dyDescent="0.25">
      <c r="A7463" t="str">
        <f>"0611835934100"</f>
        <v>0611835934100</v>
      </c>
      <c r="B7463" t="str">
        <f>"LL2152"</f>
        <v>LL2152</v>
      </c>
      <c r="C7463" t="s">
        <v>7340</v>
      </c>
    </row>
    <row r="7464" spans="1:3" x14ac:dyDescent="0.25">
      <c r="A7464" t="str">
        <f>"0611835935100"</f>
        <v>0611835935100</v>
      </c>
      <c r="B7464" t="str">
        <f>"LL2154"</f>
        <v>LL2154</v>
      </c>
      <c r="C7464" t="s">
        <v>7341</v>
      </c>
    </row>
    <row r="7465" spans="1:3" x14ac:dyDescent="0.25">
      <c r="A7465" t="str">
        <f>"0611835936100"</f>
        <v>0611835936100</v>
      </c>
      <c r="B7465" t="str">
        <f>"LL2149"</f>
        <v>LL2149</v>
      </c>
      <c r="C7465" t="s">
        <v>7342</v>
      </c>
    </row>
    <row r="7466" spans="1:3" x14ac:dyDescent="0.25">
      <c r="A7466" t="str">
        <f>"0611835937100"</f>
        <v>0611835937100</v>
      </c>
      <c r="B7466" t="str">
        <f>"LL0121"</f>
        <v>LL0121</v>
      </c>
      <c r="C7466" t="s">
        <v>7343</v>
      </c>
    </row>
    <row r="7467" spans="1:3" x14ac:dyDescent="0.25">
      <c r="A7467" t="str">
        <f>"0611835938100"</f>
        <v>0611835938100</v>
      </c>
      <c r="B7467" t="str">
        <f>"LL2156"</f>
        <v>LL2156</v>
      </c>
      <c r="C7467" t="s">
        <v>7344</v>
      </c>
    </row>
    <row r="7468" spans="1:3" x14ac:dyDescent="0.25">
      <c r="A7468" t="str">
        <f>"0611835939100"</f>
        <v>0611835939100</v>
      </c>
      <c r="B7468" t="str">
        <f>"LL2161"</f>
        <v>LL2161</v>
      </c>
      <c r="C7468" t="s">
        <v>7345</v>
      </c>
    </row>
    <row r="7469" spans="1:3" x14ac:dyDescent="0.25">
      <c r="A7469" t="str">
        <f>"0611835940100"</f>
        <v>0611835940100</v>
      </c>
      <c r="B7469" t="str">
        <f>"LL2160"</f>
        <v>LL2160</v>
      </c>
      <c r="C7469" t="s">
        <v>7346</v>
      </c>
    </row>
    <row r="7470" spans="1:3" x14ac:dyDescent="0.25">
      <c r="A7470" t="str">
        <f>"0611835941100"</f>
        <v>0611835941100</v>
      </c>
      <c r="B7470" t="str">
        <f>"LL4017"</f>
        <v>LL4017</v>
      </c>
      <c r="C7470" t="s">
        <v>7347</v>
      </c>
    </row>
    <row r="7471" spans="1:3" x14ac:dyDescent="0.25">
      <c r="A7471" t="str">
        <f>"0611835942100"</f>
        <v>0611835942100</v>
      </c>
      <c r="B7471" t="str">
        <f>"LL2144"</f>
        <v>LL2144</v>
      </c>
      <c r="C7471" t="s">
        <v>7348</v>
      </c>
    </row>
    <row r="7472" spans="1:3" x14ac:dyDescent="0.25">
      <c r="A7472" t="str">
        <f>"0611835943100"</f>
        <v>0611835943100</v>
      </c>
      <c r="B7472" t="str">
        <f>"LL2155"</f>
        <v>LL2155</v>
      </c>
      <c r="C7472" t="s">
        <v>7349</v>
      </c>
    </row>
    <row r="7473" spans="1:3" x14ac:dyDescent="0.25">
      <c r="A7473" t="str">
        <f>"0611835944100"</f>
        <v>0611835944100</v>
      </c>
      <c r="B7473" t="str">
        <f>"LL2157"</f>
        <v>LL2157</v>
      </c>
      <c r="C7473" t="s">
        <v>7350</v>
      </c>
    </row>
    <row r="7474" spans="1:3" x14ac:dyDescent="0.25">
      <c r="A7474" t="str">
        <f>"0611835945200"</f>
        <v>0611835945200</v>
      </c>
      <c r="B7474" t="str">
        <f>"KY2157"</f>
        <v>KY2157</v>
      </c>
      <c r="C7474" t="s">
        <v>7351</v>
      </c>
    </row>
    <row r="7475" spans="1:3" x14ac:dyDescent="0.25">
      <c r="A7475" t="str">
        <f>"0611835946100"</f>
        <v>0611835946100</v>
      </c>
      <c r="B7475" t="str">
        <f>"LL2153"</f>
        <v>LL2153</v>
      </c>
      <c r="C7475" t="s">
        <v>7352</v>
      </c>
    </row>
    <row r="7476" spans="1:3" x14ac:dyDescent="0.25">
      <c r="A7476" t="str">
        <f>"0611835947100"</f>
        <v>0611835947100</v>
      </c>
      <c r="B7476" t="str">
        <f>"LL2167"</f>
        <v>LL2167</v>
      </c>
      <c r="C7476" t="s">
        <v>7353</v>
      </c>
    </row>
    <row r="7477" spans="1:3" x14ac:dyDescent="0.25">
      <c r="A7477" t="str">
        <f>"0611835948100"</f>
        <v>0611835948100</v>
      </c>
      <c r="B7477" t="str">
        <f>"LL2140"</f>
        <v>LL2140</v>
      </c>
      <c r="C7477" t="s">
        <v>7354</v>
      </c>
    </row>
    <row r="7478" spans="1:3" x14ac:dyDescent="0.25">
      <c r="A7478" t="str">
        <f>"0611835949100"</f>
        <v>0611835949100</v>
      </c>
      <c r="B7478" t="str">
        <f>"LL2159"</f>
        <v>LL2159</v>
      </c>
      <c r="C7478" t="s">
        <v>7355</v>
      </c>
    </row>
    <row r="7479" spans="1:3" x14ac:dyDescent="0.25">
      <c r="A7479" t="str">
        <f>"0611835950100"</f>
        <v>0611835950100</v>
      </c>
      <c r="B7479" t="str">
        <f>"LL2265"</f>
        <v>LL2265</v>
      </c>
      <c r="C7479" t="s">
        <v>7356</v>
      </c>
    </row>
    <row r="7480" spans="1:3" x14ac:dyDescent="0.25">
      <c r="A7480" t="str">
        <f>"0611835951100"</f>
        <v>0611835951100</v>
      </c>
      <c r="B7480" t="str">
        <f>"LL4822"</f>
        <v>LL4822</v>
      </c>
      <c r="C7480" t="s">
        <v>7357</v>
      </c>
    </row>
    <row r="7481" spans="1:3" x14ac:dyDescent="0.25">
      <c r="A7481" t="str">
        <f>"0611835952100"</f>
        <v>0611835952100</v>
      </c>
      <c r="B7481" t="str">
        <f>"LL2266"</f>
        <v>LL2266</v>
      </c>
      <c r="C7481" t="s">
        <v>7358</v>
      </c>
    </row>
    <row r="7482" spans="1:3" x14ac:dyDescent="0.25">
      <c r="A7482" t="str">
        <f>"0611835953100"</f>
        <v>0611835953100</v>
      </c>
      <c r="B7482" t="str">
        <f>"LL8140"</f>
        <v>LL8140</v>
      </c>
      <c r="C7482" t="s">
        <v>7359</v>
      </c>
    </row>
    <row r="7483" spans="1:3" x14ac:dyDescent="0.25">
      <c r="A7483" t="str">
        <f>"0611835961025"</f>
        <v>0611835961025</v>
      </c>
      <c r="B7483" t="str">
        <f>"MC3438"</f>
        <v>MC3438</v>
      </c>
      <c r="C7483" t="s">
        <v>11859</v>
      </c>
    </row>
    <row r="7484" spans="1:3" x14ac:dyDescent="0.25">
      <c r="A7484" t="str">
        <f>"0611835959025"</f>
        <v>0611835959025</v>
      </c>
      <c r="B7484" t="str">
        <f>"MC3439"</f>
        <v>MC3439</v>
      </c>
      <c r="C7484" t="s">
        <v>7361</v>
      </c>
    </row>
    <row r="7485" spans="1:3" x14ac:dyDescent="0.25">
      <c r="A7485" t="str">
        <f>"0611831209025"</f>
        <v>0611831209025</v>
      </c>
      <c r="B7485" t="str">
        <f>"MC4113"</f>
        <v>MC4113</v>
      </c>
      <c r="C7485" t="s">
        <v>11860</v>
      </c>
    </row>
    <row r="7486" spans="1:3" x14ac:dyDescent="0.25">
      <c r="A7486" t="str">
        <f>"0611835960025"</f>
        <v>0611835960025</v>
      </c>
      <c r="B7486" t="str">
        <f>"MC3440"</f>
        <v>MC3440</v>
      </c>
      <c r="C7486" t="s">
        <v>11861</v>
      </c>
    </row>
    <row r="7487" spans="1:3" x14ac:dyDescent="0.25">
      <c r="A7487" t="str">
        <f>"0611835954025"</f>
        <v>0611835954025</v>
      </c>
      <c r="B7487" t="str">
        <f>"MC4360"</f>
        <v>MC4360</v>
      </c>
      <c r="C7487" t="s">
        <v>11862</v>
      </c>
    </row>
    <row r="7488" spans="1:3" x14ac:dyDescent="0.25">
      <c r="A7488" t="str">
        <f>"0611835955025"</f>
        <v>0611835955025</v>
      </c>
      <c r="B7488" t="str">
        <f>"MC4361"</f>
        <v>MC4361</v>
      </c>
      <c r="C7488" t="s">
        <v>11863</v>
      </c>
    </row>
    <row r="7489" spans="1:3" x14ac:dyDescent="0.25">
      <c r="A7489" t="str">
        <f>"0611835957025"</f>
        <v>0611835957025</v>
      </c>
      <c r="B7489" t="str">
        <f>"MC3915"</f>
        <v>MC3915</v>
      </c>
      <c r="C7489" t="s">
        <v>11864</v>
      </c>
    </row>
    <row r="7490" spans="1:3" x14ac:dyDescent="0.25">
      <c r="A7490" t="str">
        <f>"0611835956025"</f>
        <v>0611835956025</v>
      </c>
      <c r="B7490" t="str">
        <f>"MC3914"</f>
        <v>MC3914</v>
      </c>
      <c r="C7490" t="s">
        <v>7362</v>
      </c>
    </row>
    <row r="7491" spans="1:3" x14ac:dyDescent="0.25">
      <c r="A7491" t="str">
        <f>"0611835958100"</f>
        <v>0611835958100</v>
      </c>
      <c r="B7491" t="str">
        <f>"LL2158"</f>
        <v>LL2158</v>
      </c>
      <c r="C7491" t="s">
        <v>7360</v>
      </c>
    </row>
    <row r="7492" spans="1:3" x14ac:dyDescent="0.25">
      <c r="A7492" t="str">
        <f>"0611835962100"</f>
        <v>0611835962100</v>
      </c>
      <c r="B7492" t="str">
        <f>"LL2275"</f>
        <v>LL2275</v>
      </c>
      <c r="C7492" t="s">
        <v>7363</v>
      </c>
    </row>
    <row r="7493" spans="1:3" x14ac:dyDescent="0.25">
      <c r="A7493" t="str">
        <f>"0611835963100"</f>
        <v>0611835963100</v>
      </c>
      <c r="B7493" t="str">
        <f>"LL2130"</f>
        <v>LL2130</v>
      </c>
      <c r="C7493" t="s">
        <v>7364</v>
      </c>
    </row>
    <row r="7494" spans="1:3" x14ac:dyDescent="0.25">
      <c r="A7494" t="str">
        <f>"0611835964100"</f>
        <v>0611835964100</v>
      </c>
      <c r="B7494" t="str">
        <f>"LL5014"</f>
        <v>LL5014</v>
      </c>
      <c r="C7494" t="s">
        <v>7365</v>
      </c>
    </row>
    <row r="7495" spans="1:3" x14ac:dyDescent="0.25">
      <c r="A7495" t="str">
        <f>"0611835965100"</f>
        <v>0611835965100</v>
      </c>
      <c r="B7495" t="str">
        <f>"LL2168"</f>
        <v>LL2168</v>
      </c>
      <c r="C7495" t="s">
        <v>7366</v>
      </c>
    </row>
    <row r="7496" spans="1:3" x14ac:dyDescent="0.25">
      <c r="A7496" t="str">
        <f>"0611863192050"</f>
        <v>0611863192050</v>
      </c>
      <c r="B7496" t="str">
        <f>"CR3935"</f>
        <v>CR3935</v>
      </c>
      <c r="C7496" t="s">
        <v>7367</v>
      </c>
    </row>
    <row r="7497" spans="1:3" x14ac:dyDescent="0.25">
      <c r="A7497" t="str">
        <f>"0611836051100"</f>
        <v>0611836051100</v>
      </c>
      <c r="B7497" t="str">
        <f>"LH3120"</f>
        <v>LH3120</v>
      </c>
      <c r="C7497" t="s">
        <v>7368</v>
      </c>
    </row>
    <row r="7498" spans="1:3" x14ac:dyDescent="0.25">
      <c r="A7498" t="str">
        <f>"0611836052025"</f>
        <v>0611836052025</v>
      </c>
      <c r="B7498" t="str">
        <f>"MC0471"</f>
        <v>MC0471</v>
      </c>
      <c r="C7498" t="s">
        <v>7369</v>
      </c>
    </row>
    <row r="7499" spans="1:3" x14ac:dyDescent="0.25">
      <c r="A7499" t="str">
        <f>"0611836053025"</f>
        <v>0611836053025</v>
      </c>
      <c r="B7499" t="str">
        <f>"MQ0518"</f>
        <v>MQ0518</v>
      </c>
      <c r="C7499" t="s">
        <v>7370</v>
      </c>
    </row>
    <row r="7500" spans="1:3" x14ac:dyDescent="0.25">
      <c r="A7500" t="str">
        <f>"0611836054025"</f>
        <v>0611836054025</v>
      </c>
      <c r="B7500" t="str">
        <f>"MQ6049"</f>
        <v>MQ6049</v>
      </c>
      <c r="C7500" t="s">
        <v>7371</v>
      </c>
    </row>
    <row r="7501" spans="1:3" x14ac:dyDescent="0.25">
      <c r="A7501" t="str">
        <f>"0611836055025"</f>
        <v>0611836055025</v>
      </c>
      <c r="B7501" t="str">
        <f>"MQ0611"</f>
        <v>MQ0611</v>
      </c>
      <c r="C7501" t="s">
        <v>7372</v>
      </c>
    </row>
    <row r="7502" spans="1:3" x14ac:dyDescent="0.25">
      <c r="A7502" t="str">
        <f>"0611836056100"</f>
        <v>0611836056100</v>
      </c>
      <c r="B7502" t="str">
        <f>"LH3053"</f>
        <v>LH3053</v>
      </c>
      <c r="C7502" t="s">
        <v>7373</v>
      </c>
    </row>
    <row r="7503" spans="1:3" x14ac:dyDescent="0.25">
      <c r="A7503" t="str">
        <f>"0611836057025"</f>
        <v>0611836057025</v>
      </c>
      <c r="B7503" t="str">
        <f>"MC1469"</f>
        <v>MC1469</v>
      </c>
      <c r="C7503" t="s">
        <v>7374</v>
      </c>
    </row>
    <row r="7504" spans="1:3" x14ac:dyDescent="0.25">
      <c r="A7504" t="str">
        <f>"0611836059025"</f>
        <v>0611836059025</v>
      </c>
      <c r="B7504" t="str">
        <f>"MC3043"</f>
        <v>MC3043</v>
      </c>
      <c r="C7504" t="s">
        <v>7375</v>
      </c>
    </row>
    <row r="7505" spans="1:3" x14ac:dyDescent="0.25">
      <c r="A7505" t="str">
        <f>"0611836060025"</f>
        <v>0611836060025</v>
      </c>
      <c r="B7505" t="str">
        <f>"MQ6051"</f>
        <v>MQ6051</v>
      </c>
      <c r="C7505" t="s">
        <v>7376</v>
      </c>
    </row>
    <row r="7506" spans="1:3" x14ac:dyDescent="0.25">
      <c r="A7506" t="str">
        <f>"0611863193050"</f>
        <v>0611863193050</v>
      </c>
      <c r="B7506" t="str">
        <f>"CR3936"</f>
        <v>CR3936</v>
      </c>
      <c r="C7506" t="s">
        <v>7377</v>
      </c>
    </row>
    <row r="7507" spans="1:3" x14ac:dyDescent="0.25">
      <c r="A7507" t="str">
        <f>"0611836061025"</f>
        <v>0611836061025</v>
      </c>
      <c r="B7507" t="str">
        <f>"MC1470"</f>
        <v>MC1470</v>
      </c>
      <c r="C7507" t="s">
        <v>7378</v>
      </c>
    </row>
    <row r="7508" spans="1:3" x14ac:dyDescent="0.25">
      <c r="A7508" t="str">
        <f>"0611836062025"</f>
        <v>0611836062025</v>
      </c>
      <c r="B7508" t="str">
        <f>"MQ0519"</f>
        <v>MQ0519</v>
      </c>
      <c r="C7508" t="s">
        <v>7379</v>
      </c>
    </row>
    <row r="7509" spans="1:3" x14ac:dyDescent="0.25">
      <c r="A7509" t="str">
        <f>"0611836063025"</f>
        <v>0611836063025</v>
      </c>
      <c r="B7509" t="str">
        <f>"MQ0625"</f>
        <v>MQ0625</v>
      </c>
      <c r="C7509" t="s">
        <v>7380</v>
      </c>
    </row>
    <row r="7510" spans="1:3" x14ac:dyDescent="0.25">
      <c r="A7510" t="str">
        <f>"0611836064025"</f>
        <v>0611836064025</v>
      </c>
      <c r="B7510" t="str">
        <f>"MQ0598"</f>
        <v>MQ0598</v>
      </c>
      <c r="C7510" t="s">
        <v>7381</v>
      </c>
    </row>
    <row r="7511" spans="1:3" x14ac:dyDescent="0.25">
      <c r="A7511" t="str">
        <f>"0611906833025"</f>
        <v>0611906833025</v>
      </c>
      <c r="B7511" t="str">
        <f>"MQ7160"</f>
        <v>MQ7160</v>
      </c>
      <c r="C7511" t="s">
        <v>7382</v>
      </c>
    </row>
    <row r="7512" spans="1:3" x14ac:dyDescent="0.25">
      <c r="A7512" t="str">
        <f>"0611836065025"</f>
        <v>0611836065025</v>
      </c>
      <c r="B7512" t="str">
        <f>"MQ0301"</f>
        <v>MQ0301</v>
      </c>
      <c r="C7512" t="s">
        <v>7383</v>
      </c>
    </row>
    <row r="7513" spans="1:3" x14ac:dyDescent="0.25">
      <c r="A7513" t="str">
        <f>"0611857018025"</f>
        <v>0611857018025</v>
      </c>
      <c r="B7513" t="str">
        <f>"MQ0789"</f>
        <v>MQ0789</v>
      </c>
      <c r="C7513" t="s">
        <v>7384</v>
      </c>
    </row>
    <row r="7514" spans="1:3" x14ac:dyDescent="0.25">
      <c r="A7514" t="str">
        <f>"0611906834025"</f>
        <v>0611906834025</v>
      </c>
      <c r="B7514" t="str">
        <f>"MQ7601"</f>
        <v>MQ7601</v>
      </c>
      <c r="C7514" t="s">
        <v>7385</v>
      </c>
    </row>
    <row r="7515" spans="1:3" x14ac:dyDescent="0.25">
      <c r="A7515" t="str">
        <f>"0611836067025"</f>
        <v>0611836067025</v>
      </c>
      <c r="B7515" t="str">
        <f>"MQ0520"</f>
        <v>MQ0520</v>
      </c>
      <c r="C7515" t="s">
        <v>7386</v>
      </c>
    </row>
    <row r="7516" spans="1:3" x14ac:dyDescent="0.25">
      <c r="A7516" t="str">
        <f>"0611906835025"</f>
        <v>0611906835025</v>
      </c>
      <c r="B7516" t="str">
        <f>"MQ7602"</f>
        <v>MQ7602</v>
      </c>
      <c r="C7516" t="s">
        <v>7387</v>
      </c>
    </row>
    <row r="7517" spans="1:3" x14ac:dyDescent="0.25">
      <c r="A7517" t="str">
        <f>"0611836068025"</f>
        <v>0611836068025</v>
      </c>
      <c r="B7517" t="str">
        <f>"MQ5152"</f>
        <v>MQ5152</v>
      </c>
      <c r="C7517" t="s">
        <v>7388</v>
      </c>
    </row>
    <row r="7518" spans="1:3" x14ac:dyDescent="0.25">
      <c r="A7518" t="str">
        <f>"0611836069025"</f>
        <v>0611836069025</v>
      </c>
      <c r="B7518" t="str">
        <f>"MQ5153"</f>
        <v>MQ5153</v>
      </c>
      <c r="C7518" t="s">
        <v>7389</v>
      </c>
    </row>
    <row r="7519" spans="1:3" x14ac:dyDescent="0.25">
      <c r="A7519" t="str">
        <f>"0611836070025"</f>
        <v>0611836070025</v>
      </c>
      <c r="B7519" t="str">
        <f>"MQ5116"</f>
        <v>MQ5116</v>
      </c>
      <c r="C7519" t="s">
        <v>7390</v>
      </c>
    </row>
    <row r="7520" spans="1:3" x14ac:dyDescent="0.25">
      <c r="A7520" t="str">
        <f>"0611836071025"</f>
        <v>0611836071025</v>
      </c>
      <c r="B7520" t="str">
        <f>"MQ6052"</f>
        <v>MQ6052</v>
      </c>
      <c r="C7520" t="s">
        <v>7391</v>
      </c>
    </row>
    <row r="7521" spans="1:3" x14ac:dyDescent="0.25">
      <c r="A7521" t="str">
        <f>"0611836072025"</f>
        <v>0611836072025</v>
      </c>
      <c r="B7521" t="str">
        <f>"MC4317"</f>
        <v>MC4317</v>
      </c>
      <c r="C7521" t="s">
        <v>7392</v>
      </c>
    </row>
    <row r="7522" spans="1:3" x14ac:dyDescent="0.25">
      <c r="A7522" t="str">
        <f>"0611857019025"</f>
        <v>0611857019025</v>
      </c>
      <c r="B7522" t="str">
        <f>"MQ0790"</f>
        <v>MQ0790</v>
      </c>
      <c r="C7522" t="s">
        <v>7393</v>
      </c>
    </row>
    <row r="7523" spans="1:3" x14ac:dyDescent="0.25">
      <c r="A7523" t="str">
        <f>"0611857020025"</f>
        <v>0611857020025</v>
      </c>
      <c r="B7523" t="str">
        <f>"MQ0791"</f>
        <v>MQ0791</v>
      </c>
      <c r="C7523" t="s">
        <v>7394</v>
      </c>
    </row>
    <row r="7524" spans="1:3" x14ac:dyDescent="0.25">
      <c r="A7524" t="str">
        <f>"0611836073025"</f>
        <v>0611836073025</v>
      </c>
      <c r="B7524" t="str">
        <f>"MC0473"</f>
        <v>MC0473</v>
      </c>
      <c r="C7524" t="s">
        <v>7395</v>
      </c>
    </row>
    <row r="7525" spans="1:3" x14ac:dyDescent="0.25">
      <c r="A7525" t="str">
        <f>"0611836074025"</f>
        <v>0611836074025</v>
      </c>
      <c r="B7525" t="str">
        <f>"MQ0718"</f>
        <v>MQ0718</v>
      </c>
      <c r="C7525" t="s">
        <v>7396</v>
      </c>
    </row>
    <row r="7526" spans="1:3" x14ac:dyDescent="0.25">
      <c r="A7526" t="str">
        <f>"0611836075025"</f>
        <v>0611836075025</v>
      </c>
      <c r="B7526" t="str">
        <f>"MQ0521"</f>
        <v>MQ0521</v>
      </c>
      <c r="C7526" t="s">
        <v>7397</v>
      </c>
    </row>
    <row r="7527" spans="1:3" x14ac:dyDescent="0.25">
      <c r="A7527" t="str">
        <f>"0611863194100"</f>
        <v>0611863194100</v>
      </c>
      <c r="B7527" t="str">
        <f>"CN5240"</f>
        <v>CN5240</v>
      </c>
      <c r="C7527" t="s">
        <v>7398</v>
      </c>
    </row>
    <row r="7528" spans="1:3" x14ac:dyDescent="0.25">
      <c r="A7528" t="str">
        <f>"0611863196100"</f>
        <v>0611863196100</v>
      </c>
      <c r="B7528" t="str">
        <f>"CN5241"</f>
        <v>CN5241</v>
      </c>
      <c r="C7528" t="s">
        <v>7399</v>
      </c>
    </row>
    <row r="7529" spans="1:3" x14ac:dyDescent="0.25">
      <c r="A7529" t="str">
        <f>"0611863198100"</f>
        <v>0611863198100</v>
      </c>
      <c r="B7529" t="str">
        <f>"CN5242"</f>
        <v>CN5242</v>
      </c>
      <c r="C7529" t="s">
        <v>7400</v>
      </c>
    </row>
    <row r="7530" spans="1:3" x14ac:dyDescent="0.25">
      <c r="A7530" t="str">
        <f>"0611863200100"</f>
        <v>0611863200100</v>
      </c>
      <c r="B7530" t="str">
        <f>"CN5243"</f>
        <v>CN5243</v>
      </c>
      <c r="C7530" t="s">
        <v>7401</v>
      </c>
    </row>
    <row r="7531" spans="1:3" x14ac:dyDescent="0.25">
      <c r="A7531" t="str">
        <f>"0611863202100"</f>
        <v>0611863202100</v>
      </c>
      <c r="B7531" t="str">
        <f>"CN5244"</f>
        <v>CN5244</v>
      </c>
      <c r="C7531" t="s">
        <v>7402</v>
      </c>
    </row>
    <row r="7532" spans="1:3" x14ac:dyDescent="0.25">
      <c r="A7532" t="str">
        <f>"0611863204100"</f>
        <v>0611863204100</v>
      </c>
      <c r="B7532" t="str">
        <f>"CN5245"</f>
        <v>CN5245</v>
      </c>
      <c r="C7532" t="s">
        <v>7403</v>
      </c>
    </row>
    <row r="7533" spans="1:3" x14ac:dyDescent="0.25">
      <c r="A7533" t="str">
        <f>"0611857021025"</f>
        <v>0611857021025</v>
      </c>
      <c r="B7533" t="str">
        <f>"MQ0792"</f>
        <v>MQ0792</v>
      </c>
      <c r="C7533" t="s">
        <v>7404</v>
      </c>
    </row>
    <row r="7534" spans="1:3" x14ac:dyDescent="0.25">
      <c r="A7534" t="str">
        <f>"0611836076025"</f>
        <v>0611836076025</v>
      </c>
      <c r="B7534" t="str">
        <f>"MC3752"</f>
        <v>MC3752</v>
      </c>
      <c r="C7534" t="s">
        <v>7405</v>
      </c>
    </row>
    <row r="7535" spans="1:3" x14ac:dyDescent="0.25">
      <c r="A7535" t="str">
        <f>"0611836077100"</f>
        <v>0611836077100</v>
      </c>
      <c r="B7535" t="str">
        <f>"LH3130"</f>
        <v>LH3130</v>
      </c>
      <c r="C7535" t="s">
        <v>7406</v>
      </c>
    </row>
    <row r="7536" spans="1:3" x14ac:dyDescent="0.25">
      <c r="A7536" t="str">
        <f>"0611836078025"</f>
        <v>0611836078025</v>
      </c>
      <c r="B7536" t="str">
        <f>"MC0475"</f>
        <v>MC0475</v>
      </c>
      <c r="C7536" t="s">
        <v>7407</v>
      </c>
    </row>
    <row r="7537" spans="1:3" x14ac:dyDescent="0.25">
      <c r="A7537" t="str">
        <f>"0611836079100"</f>
        <v>0611836079100</v>
      </c>
      <c r="B7537" t="str">
        <f>"LH3133"</f>
        <v>LH3133</v>
      </c>
      <c r="C7537" t="s">
        <v>7408</v>
      </c>
    </row>
    <row r="7538" spans="1:3" x14ac:dyDescent="0.25">
      <c r="A7538" t="str">
        <f>"0611836080025"</f>
        <v>0611836080025</v>
      </c>
      <c r="B7538" t="str">
        <f>"MC0476"</f>
        <v>MC0476</v>
      </c>
      <c r="C7538" t="s">
        <v>7409</v>
      </c>
    </row>
    <row r="7539" spans="1:3" x14ac:dyDescent="0.25">
      <c r="A7539" t="str">
        <f>"0611863205100"</f>
        <v>0611863205100</v>
      </c>
      <c r="B7539" t="str">
        <f>"CN5252"</f>
        <v>CN5252</v>
      </c>
      <c r="C7539" t="s">
        <v>7410</v>
      </c>
    </row>
    <row r="7540" spans="1:3" x14ac:dyDescent="0.25">
      <c r="A7540" t="str">
        <f>"0611836081025"</f>
        <v>0611836081025</v>
      </c>
      <c r="B7540" t="str">
        <f>"MC0477"</f>
        <v>MC0477</v>
      </c>
      <c r="C7540" t="s">
        <v>7411</v>
      </c>
    </row>
    <row r="7541" spans="1:3" x14ac:dyDescent="0.25">
      <c r="A7541" t="str">
        <f>"0611857022025"</f>
        <v>0611857022025</v>
      </c>
      <c r="B7541" t="str">
        <f>"MQ0793"</f>
        <v>MQ0793</v>
      </c>
      <c r="C7541" t="s">
        <v>7412</v>
      </c>
    </row>
    <row r="7542" spans="1:3" x14ac:dyDescent="0.25">
      <c r="A7542" t="str">
        <f>"0611863207100"</f>
        <v>0611863207100</v>
      </c>
      <c r="B7542" t="str">
        <f>"CN5251"</f>
        <v>CN5251</v>
      </c>
      <c r="C7542" t="s">
        <v>7413</v>
      </c>
    </row>
    <row r="7543" spans="1:3" x14ac:dyDescent="0.25">
      <c r="A7543" t="str">
        <f>"0611863208100"</f>
        <v>0611863208100</v>
      </c>
      <c r="B7543" t="str">
        <f>"CN5246"</f>
        <v>CN5246</v>
      </c>
      <c r="C7543" t="s">
        <v>7414</v>
      </c>
    </row>
    <row r="7544" spans="1:3" x14ac:dyDescent="0.25">
      <c r="A7544" t="str">
        <f>"0611863209100"</f>
        <v>0611863209100</v>
      </c>
      <c r="B7544" t="str">
        <f>"CN5247"</f>
        <v>CN5247</v>
      </c>
      <c r="C7544" t="s">
        <v>7415</v>
      </c>
    </row>
    <row r="7545" spans="1:3" x14ac:dyDescent="0.25">
      <c r="A7545" t="str">
        <f>"0611863210100"</f>
        <v>0611863210100</v>
      </c>
      <c r="B7545" t="str">
        <f>"CN2378"</f>
        <v>CN2378</v>
      </c>
      <c r="C7545" t="s">
        <v>7416</v>
      </c>
    </row>
    <row r="7546" spans="1:3" x14ac:dyDescent="0.25">
      <c r="A7546" t="str">
        <f>"0611863211100"</f>
        <v>0611863211100</v>
      </c>
      <c r="B7546" t="str">
        <f>"CN5248"</f>
        <v>CN5248</v>
      </c>
      <c r="C7546" t="s">
        <v>7417</v>
      </c>
    </row>
    <row r="7547" spans="1:3" x14ac:dyDescent="0.25">
      <c r="A7547" t="str">
        <f>"0611863212100"</f>
        <v>0611863212100</v>
      </c>
      <c r="B7547" t="str">
        <f>"CN5249"</f>
        <v>CN5249</v>
      </c>
      <c r="C7547" t="s">
        <v>7418</v>
      </c>
    </row>
    <row r="7548" spans="1:3" x14ac:dyDescent="0.25">
      <c r="A7548" t="str">
        <f>"0611863213050"</f>
        <v>0611863213050</v>
      </c>
      <c r="B7548" t="str">
        <f>"CR4871"</f>
        <v>CR4871</v>
      </c>
      <c r="C7548" t="s">
        <v>7419</v>
      </c>
    </row>
    <row r="7549" spans="1:3" x14ac:dyDescent="0.25">
      <c r="A7549" t="str">
        <f>"0611863214100"</f>
        <v>0611863214100</v>
      </c>
      <c r="B7549" t="str">
        <f>"CN2379"</f>
        <v>CN2379</v>
      </c>
      <c r="C7549" t="s">
        <v>7420</v>
      </c>
    </row>
    <row r="7550" spans="1:3" x14ac:dyDescent="0.25">
      <c r="A7550" t="str">
        <f>"0611863215100"</f>
        <v>0611863215100</v>
      </c>
      <c r="B7550" t="str">
        <f>"CN5250"</f>
        <v>CN5250</v>
      </c>
      <c r="C7550" t="s">
        <v>7421</v>
      </c>
    </row>
    <row r="7551" spans="1:3" x14ac:dyDescent="0.25">
      <c r="A7551" t="str">
        <f>"0611863216050"</f>
        <v>0611863216050</v>
      </c>
      <c r="B7551" t="str">
        <f>"CR3803"</f>
        <v>CR3803</v>
      </c>
      <c r="C7551" t="s">
        <v>7422</v>
      </c>
    </row>
    <row r="7552" spans="1:3" x14ac:dyDescent="0.25">
      <c r="A7552" t="str">
        <f>"0611836082025"</f>
        <v>0611836082025</v>
      </c>
      <c r="B7552" t="str">
        <f>"MQ0302"</f>
        <v>MQ0302</v>
      </c>
      <c r="C7552" t="s">
        <v>7423</v>
      </c>
    </row>
    <row r="7553" spans="1:3" x14ac:dyDescent="0.25">
      <c r="A7553" t="str">
        <f>"0611836083025"</f>
        <v>0611836083025</v>
      </c>
      <c r="B7553" t="str">
        <f>"MQ0648"</f>
        <v>MQ0648</v>
      </c>
      <c r="C7553" t="s">
        <v>7424</v>
      </c>
    </row>
    <row r="7554" spans="1:3" x14ac:dyDescent="0.25">
      <c r="A7554" t="str">
        <f>"0611863217050"</f>
        <v>0611863217050</v>
      </c>
      <c r="B7554" t="str">
        <f>"CE1724"</f>
        <v>CE1724</v>
      </c>
      <c r="C7554" t="s">
        <v>7425</v>
      </c>
    </row>
    <row r="7555" spans="1:3" x14ac:dyDescent="0.25">
      <c r="A7555" t="str">
        <f>"0611836084025"</f>
        <v>0611836084025</v>
      </c>
      <c r="B7555" t="str">
        <f>"MQ7166"</f>
        <v>MQ7166</v>
      </c>
      <c r="C7555" t="s">
        <v>7426</v>
      </c>
    </row>
    <row r="7556" spans="1:3" x14ac:dyDescent="0.25">
      <c r="A7556" t="str">
        <f>"0611863218050"</f>
        <v>0611863218050</v>
      </c>
      <c r="B7556" t="str">
        <f>"CE1004"</f>
        <v>CE1004</v>
      </c>
      <c r="C7556" t="s">
        <v>7427</v>
      </c>
    </row>
    <row r="7557" spans="1:3" x14ac:dyDescent="0.25">
      <c r="A7557" t="str">
        <f>"0611836085025"</f>
        <v>0611836085025</v>
      </c>
      <c r="B7557" t="str">
        <f>"MQ0649"</f>
        <v>MQ0649</v>
      </c>
      <c r="C7557" t="s">
        <v>7428</v>
      </c>
    </row>
    <row r="7558" spans="1:3" x14ac:dyDescent="0.25">
      <c r="A7558" t="str">
        <f>"0611863219050"</f>
        <v>0611863219050</v>
      </c>
      <c r="B7558" t="str">
        <f>"CE1725"</f>
        <v>CE1725</v>
      </c>
      <c r="C7558" t="s">
        <v>7429</v>
      </c>
    </row>
    <row r="7559" spans="1:3" x14ac:dyDescent="0.25">
      <c r="A7559" t="str">
        <f>"0611836086025"</f>
        <v>0611836086025</v>
      </c>
      <c r="B7559" t="str">
        <f>"MQ0719"</f>
        <v>MQ0719</v>
      </c>
      <c r="C7559" t="s">
        <v>7430</v>
      </c>
    </row>
    <row r="7560" spans="1:3" x14ac:dyDescent="0.25">
      <c r="A7560" t="str">
        <f>"0611836087025"</f>
        <v>0611836087025</v>
      </c>
      <c r="B7560" t="str">
        <f>"MQ7255"</f>
        <v>MQ7255</v>
      </c>
      <c r="C7560" t="s">
        <v>7431</v>
      </c>
    </row>
    <row r="7561" spans="1:3" x14ac:dyDescent="0.25">
      <c r="A7561" t="str">
        <f>"0611884292050"</f>
        <v>0611884292050</v>
      </c>
      <c r="B7561" t="str">
        <f>"CE1005"</f>
        <v>CE1005</v>
      </c>
      <c r="C7561" t="s">
        <v>7432</v>
      </c>
    </row>
    <row r="7562" spans="1:3" x14ac:dyDescent="0.25">
      <c r="A7562" t="str">
        <f>"0611836088025"</f>
        <v>0611836088025</v>
      </c>
      <c r="B7562" t="str">
        <f>"MC4294"</f>
        <v>MC4294</v>
      </c>
      <c r="C7562" t="s">
        <v>7433</v>
      </c>
    </row>
    <row r="7563" spans="1:3" x14ac:dyDescent="0.25">
      <c r="A7563" t="str">
        <f>"0611836089025"</f>
        <v>0611836089025</v>
      </c>
      <c r="B7563" t="str">
        <f>"MC4392"</f>
        <v>MC4392</v>
      </c>
      <c r="C7563" t="s">
        <v>7434</v>
      </c>
    </row>
    <row r="7564" spans="1:3" x14ac:dyDescent="0.25">
      <c r="A7564" t="str">
        <f>"0611836090025"</f>
        <v>0611836090025</v>
      </c>
      <c r="B7564" t="str">
        <f>"MQ0303"</f>
        <v>MQ0303</v>
      </c>
      <c r="C7564" t="s">
        <v>7435</v>
      </c>
    </row>
    <row r="7565" spans="1:3" x14ac:dyDescent="0.25">
      <c r="A7565" t="str">
        <f>"0611836091025"</f>
        <v>0611836091025</v>
      </c>
      <c r="B7565" t="str">
        <f>"MC4071"</f>
        <v>MC4071</v>
      </c>
      <c r="C7565" t="s">
        <v>7436</v>
      </c>
    </row>
    <row r="7566" spans="1:3" x14ac:dyDescent="0.25">
      <c r="A7566" t="str">
        <f>"0611836092025"</f>
        <v>0611836092025</v>
      </c>
      <c r="B7566" t="str">
        <f>"MQ0650"</f>
        <v>MQ0650</v>
      </c>
      <c r="C7566" t="s">
        <v>7437</v>
      </c>
    </row>
    <row r="7567" spans="1:3" x14ac:dyDescent="0.25">
      <c r="A7567" t="str">
        <f>"0611884293025"</f>
        <v>0611884293025</v>
      </c>
      <c r="B7567" t="str">
        <f>"MC4483"</f>
        <v>MC4483</v>
      </c>
      <c r="C7567" t="s">
        <v>7438</v>
      </c>
    </row>
    <row r="7568" spans="1:3" x14ac:dyDescent="0.25">
      <c r="A7568" t="str">
        <f>"0611884294025"</f>
        <v>0611884294025</v>
      </c>
      <c r="B7568" t="str">
        <f>"MC4526"</f>
        <v>MC4526</v>
      </c>
      <c r="C7568" t="s">
        <v>7439</v>
      </c>
    </row>
    <row r="7569" spans="1:3" x14ac:dyDescent="0.25">
      <c r="A7569" t="str">
        <f>"0611836094025"</f>
        <v>0611836094025</v>
      </c>
      <c r="B7569" t="str">
        <f>"MC4295"</f>
        <v>MC4295</v>
      </c>
      <c r="C7569" t="s">
        <v>7440</v>
      </c>
    </row>
    <row r="7570" spans="1:3" x14ac:dyDescent="0.25">
      <c r="A7570" t="str">
        <f>"0611836095025"</f>
        <v>0611836095025</v>
      </c>
      <c r="B7570" t="str">
        <f>"MC4297"</f>
        <v>MC4297</v>
      </c>
      <c r="C7570" t="s">
        <v>7441</v>
      </c>
    </row>
    <row r="7571" spans="1:3" x14ac:dyDescent="0.25">
      <c r="A7571" t="str">
        <f>"0611836096025"</f>
        <v>0611836096025</v>
      </c>
      <c r="B7571" t="str">
        <f>"MC4387"</f>
        <v>MC4387</v>
      </c>
      <c r="C7571" t="s">
        <v>7442</v>
      </c>
    </row>
    <row r="7572" spans="1:3" x14ac:dyDescent="0.25">
      <c r="A7572" t="str">
        <f>"0611836098025"</f>
        <v>0611836098025</v>
      </c>
      <c r="B7572" t="str">
        <f>"MC3754"</f>
        <v>MC3754</v>
      </c>
      <c r="C7572" t="s">
        <v>7443</v>
      </c>
    </row>
    <row r="7573" spans="1:3" x14ac:dyDescent="0.25">
      <c r="A7573" t="str">
        <f>"0611836099025"</f>
        <v>0611836099025</v>
      </c>
      <c r="B7573" t="str">
        <f>"MC4331"</f>
        <v>MC4331</v>
      </c>
      <c r="C7573" t="s">
        <v>7444</v>
      </c>
    </row>
    <row r="7574" spans="1:3" x14ac:dyDescent="0.25">
      <c r="A7574" t="str">
        <f>"0611836100025"</f>
        <v>0611836100025</v>
      </c>
      <c r="B7574" t="str">
        <f>"MC3456"</f>
        <v>MC3456</v>
      </c>
      <c r="C7574" t="s">
        <v>7445</v>
      </c>
    </row>
    <row r="7575" spans="1:3" x14ac:dyDescent="0.25">
      <c r="A7575" t="str">
        <f>"0611836101025"</f>
        <v>0611836101025</v>
      </c>
      <c r="B7575" t="str">
        <f>"MC0481"</f>
        <v>MC0481</v>
      </c>
      <c r="C7575" t="s">
        <v>7446</v>
      </c>
    </row>
    <row r="7576" spans="1:3" x14ac:dyDescent="0.25">
      <c r="A7576" t="str">
        <f>"0611836102025"</f>
        <v>0611836102025</v>
      </c>
      <c r="B7576" t="str">
        <f>"MC0482"</f>
        <v>MC0482</v>
      </c>
      <c r="C7576" t="s">
        <v>7447</v>
      </c>
    </row>
    <row r="7577" spans="1:3" x14ac:dyDescent="0.25">
      <c r="A7577" t="str">
        <f>"0611836105100"</f>
        <v>0611836105100</v>
      </c>
      <c r="B7577" t="str">
        <f>"LH5220"</f>
        <v>LH5220</v>
      </c>
      <c r="C7577" t="s">
        <v>7448</v>
      </c>
    </row>
    <row r="7578" spans="1:3" x14ac:dyDescent="0.25">
      <c r="A7578" t="str">
        <f>"0611836106025"</f>
        <v>0611836106025</v>
      </c>
      <c r="B7578" t="str">
        <f>"MC0484"</f>
        <v>MC0484</v>
      </c>
      <c r="C7578" t="s">
        <v>7449</v>
      </c>
    </row>
    <row r="7579" spans="1:3" x14ac:dyDescent="0.25">
      <c r="A7579" t="str">
        <f>"0611836103100"</f>
        <v>0611836103100</v>
      </c>
      <c r="B7579" t="str">
        <f>"LH5225"</f>
        <v>LH5225</v>
      </c>
      <c r="C7579" t="s">
        <v>7450</v>
      </c>
    </row>
    <row r="7580" spans="1:3" x14ac:dyDescent="0.25">
      <c r="A7580" t="str">
        <f>"0611836104025"</f>
        <v>0611836104025</v>
      </c>
      <c r="B7580" t="str">
        <f>"MC0483"</f>
        <v>MC0483</v>
      </c>
      <c r="C7580" t="s">
        <v>7451</v>
      </c>
    </row>
    <row r="7581" spans="1:3" x14ac:dyDescent="0.25">
      <c r="A7581" t="str">
        <f>"0611836107025"</f>
        <v>0611836107025</v>
      </c>
      <c r="B7581" t="str">
        <f>"MC1273"</f>
        <v>MC1273</v>
      </c>
      <c r="C7581" t="s">
        <v>7452</v>
      </c>
    </row>
    <row r="7582" spans="1:3" x14ac:dyDescent="0.25">
      <c r="A7582" t="str">
        <f>"0611836108025"</f>
        <v>0611836108025</v>
      </c>
      <c r="B7582" t="str">
        <f>"MC4223"</f>
        <v>MC4223</v>
      </c>
      <c r="C7582" t="s">
        <v>7453</v>
      </c>
    </row>
    <row r="7583" spans="1:3" x14ac:dyDescent="0.25">
      <c r="A7583" t="str">
        <f>"0611836109025"</f>
        <v>0611836109025</v>
      </c>
      <c r="B7583" t="str">
        <f>"MC0486"</f>
        <v>MC0486</v>
      </c>
      <c r="C7583" t="s">
        <v>7454</v>
      </c>
    </row>
    <row r="7584" spans="1:3" x14ac:dyDescent="0.25">
      <c r="A7584" t="str">
        <f>"0611836110025"</f>
        <v>0611836110025</v>
      </c>
      <c r="B7584" t="str">
        <f>"MC0487"</f>
        <v>MC0487</v>
      </c>
      <c r="C7584" t="s">
        <v>7455</v>
      </c>
    </row>
    <row r="7585" spans="1:3" x14ac:dyDescent="0.25">
      <c r="A7585" t="str">
        <f>"0611836111025"</f>
        <v>0611836111025</v>
      </c>
      <c r="B7585" t="str">
        <f>"MC0490"</f>
        <v>MC0490</v>
      </c>
      <c r="C7585" t="s">
        <v>7456</v>
      </c>
    </row>
    <row r="7586" spans="1:3" x14ac:dyDescent="0.25">
      <c r="A7586" t="str">
        <f>"0611836113100"</f>
        <v>0611836113100</v>
      </c>
      <c r="B7586" t="str">
        <f>"LG2225"</f>
        <v>LG2225</v>
      </c>
      <c r="C7586" t="s">
        <v>7457</v>
      </c>
    </row>
    <row r="7587" spans="1:3" x14ac:dyDescent="0.25">
      <c r="A7587" t="str">
        <f>"0611836114025"</f>
        <v>0611836114025</v>
      </c>
      <c r="B7587" t="str">
        <f>"MC4028"</f>
        <v>MC4028</v>
      </c>
      <c r="C7587" t="s">
        <v>7458</v>
      </c>
    </row>
    <row r="7588" spans="1:3" x14ac:dyDescent="0.25">
      <c r="A7588" t="str">
        <f>"0611836115025"</f>
        <v>0611836115025</v>
      </c>
      <c r="B7588" t="str">
        <f>"MC3763"</f>
        <v>MC3763</v>
      </c>
      <c r="C7588" t="s">
        <v>7459</v>
      </c>
    </row>
    <row r="7589" spans="1:3" x14ac:dyDescent="0.25">
      <c r="A7589" t="str">
        <f>"0611836116025"</f>
        <v>0611836116025</v>
      </c>
      <c r="B7589" t="str">
        <f>"MC3765"</f>
        <v>MC3765</v>
      </c>
      <c r="C7589" t="s">
        <v>7460</v>
      </c>
    </row>
    <row r="7590" spans="1:3" x14ac:dyDescent="0.25">
      <c r="A7590" t="str">
        <f>"0611836117100"</f>
        <v>0611836117100</v>
      </c>
      <c r="B7590" t="str">
        <f>"LG4201"</f>
        <v>LG4201</v>
      </c>
      <c r="C7590" t="s">
        <v>7461</v>
      </c>
    </row>
    <row r="7591" spans="1:3" x14ac:dyDescent="0.25">
      <c r="A7591" t="str">
        <f>"0611836118025"</f>
        <v>0611836118025</v>
      </c>
      <c r="B7591" t="str">
        <f>"MC3894"</f>
        <v>MC3894</v>
      </c>
      <c r="C7591" t="s">
        <v>7462</v>
      </c>
    </row>
    <row r="7592" spans="1:3" x14ac:dyDescent="0.25">
      <c r="A7592" t="str">
        <f>"0611836120025"</f>
        <v>0611836120025</v>
      </c>
      <c r="B7592" t="str">
        <f>"MC3764"</f>
        <v>MC3764</v>
      </c>
      <c r="C7592" t="s">
        <v>7463</v>
      </c>
    </row>
    <row r="7593" spans="1:3" x14ac:dyDescent="0.25">
      <c r="A7593" t="str">
        <f>"0611836121100"</f>
        <v>0611836121100</v>
      </c>
      <c r="B7593" t="str">
        <f>"LB8889"</f>
        <v>LB8889</v>
      </c>
      <c r="C7593" t="s">
        <v>7464</v>
      </c>
    </row>
    <row r="7594" spans="1:3" x14ac:dyDescent="0.25">
      <c r="A7594" t="str">
        <f>"0611836122100"</f>
        <v>0611836122100</v>
      </c>
      <c r="B7594" t="str">
        <f>"LB8891"</f>
        <v>LB8891</v>
      </c>
      <c r="C7594" t="s">
        <v>7465</v>
      </c>
    </row>
    <row r="7595" spans="1:3" x14ac:dyDescent="0.25">
      <c r="A7595" t="str">
        <f>"0611836124100"</f>
        <v>0611836124100</v>
      </c>
      <c r="B7595" t="str">
        <f>"LH7960"</f>
        <v>LH7960</v>
      </c>
      <c r="C7595" t="s">
        <v>7466</v>
      </c>
    </row>
    <row r="7596" spans="1:3" x14ac:dyDescent="0.25">
      <c r="A7596" t="str">
        <f>"0611836125100"</f>
        <v>0611836125100</v>
      </c>
      <c r="B7596" t="str">
        <f>"LK6345"</f>
        <v>LK6345</v>
      </c>
      <c r="C7596" t="s">
        <v>7467</v>
      </c>
    </row>
    <row r="7597" spans="1:3" x14ac:dyDescent="0.25">
      <c r="A7597" t="str">
        <f>"0611836126025"</f>
        <v>0611836126025</v>
      </c>
      <c r="B7597" t="str">
        <f>"MC0697"</f>
        <v>MC0697</v>
      </c>
      <c r="C7597" t="s">
        <v>7468</v>
      </c>
    </row>
    <row r="7598" spans="1:3" x14ac:dyDescent="0.25">
      <c r="A7598" t="str">
        <f>"0611836127100"</f>
        <v>0611836127100</v>
      </c>
      <c r="B7598" t="str">
        <f>"LK0397"</f>
        <v>LK0397</v>
      </c>
      <c r="C7598" t="s">
        <v>7469</v>
      </c>
    </row>
    <row r="7599" spans="1:3" x14ac:dyDescent="0.25">
      <c r="A7599" t="str">
        <f>"0611836129100"</f>
        <v>0611836129100</v>
      </c>
      <c r="B7599" t="str">
        <f>"LK6393"</f>
        <v>LK6393</v>
      </c>
      <c r="C7599" t="s">
        <v>7470</v>
      </c>
    </row>
    <row r="7600" spans="1:3" x14ac:dyDescent="0.25">
      <c r="A7600" t="str">
        <f>"0611836131100"</f>
        <v>0611836131100</v>
      </c>
      <c r="B7600" t="str">
        <f>"LK0215"</f>
        <v>LK0215</v>
      </c>
      <c r="C7600" t="s">
        <v>7471</v>
      </c>
    </row>
    <row r="7601" spans="1:3" x14ac:dyDescent="0.25">
      <c r="A7601" t="str">
        <f>"0611836133025"</f>
        <v>0611836133025</v>
      </c>
      <c r="B7601" t="str">
        <f>"MC3084"</f>
        <v>MC3084</v>
      </c>
      <c r="C7601" t="s">
        <v>7472</v>
      </c>
    </row>
    <row r="7602" spans="1:3" x14ac:dyDescent="0.25">
      <c r="A7602" t="str">
        <f>"0611836134100"</f>
        <v>0611836134100</v>
      </c>
      <c r="B7602" t="str">
        <f>"LH5285"</f>
        <v>LH5285</v>
      </c>
      <c r="C7602" t="s">
        <v>7473</v>
      </c>
    </row>
    <row r="7603" spans="1:3" x14ac:dyDescent="0.25">
      <c r="A7603" t="str">
        <f>"0611836135025"</f>
        <v>0611836135025</v>
      </c>
      <c r="B7603" t="str">
        <f>"MC0494"</f>
        <v>MC0494</v>
      </c>
      <c r="C7603" t="s">
        <v>7474</v>
      </c>
    </row>
    <row r="7604" spans="1:3" x14ac:dyDescent="0.25">
      <c r="A7604" t="str">
        <f>"0611836136100"</f>
        <v>0611836136100</v>
      </c>
      <c r="B7604" t="str">
        <f>"LH5302"</f>
        <v>LH5302</v>
      </c>
      <c r="C7604" t="s">
        <v>7475</v>
      </c>
    </row>
    <row r="7605" spans="1:3" x14ac:dyDescent="0.25">
      <c r="A7605" t="str">
        <f>"0611836137025"</f>
        <v>0611836137025</v>
      </c>
      <c r="B7605" t="str">
        <f>"MC0888"</f>
        <v>MC0888</v>
      </c>
      <c r="C7605" t="s">
        <v>7476</v>
      </c>
    </row>
    <row r="7606" spans="1:3" x14ac:dyDescent="0.25">
      <c r="A7606" t="str">
        <f>"0611836138025"</f>
        <v>0611836138025</v>
      </c>
      <c r="B7606" t="str">
        <f>"MC1916"</f>
        <v>MC1916</v>
      </c>
      <c r="C7606" t="s">
        <v>7477</v>
      </c>
    </row>
    <row r="7607" spans="1:3" x14ac:dyDescent="0.25">
      <c r="A7607" t="str">
        <f>"0611836139100"</f>
        <v>0611836139100</v>
      </c>
      <c r="B7607" t="str">
        <f>"LH8830"</f>
        <v>LH8830</v>
      </c>
      <c r="C7607" t="s">
        <v>7478</v>
      </c>
    </row>
    <row r="7608" spans="1:3" x14ac:dyDescent="0.25">
      <c r="A7608" t="str">
        <f>"0611836140025"</f>
        <v>0611836140025</v>
      </c>
      <c r="B7608" t="str">
        <f>"MC0497"</f>
        <v>MC0497</v>
      </c>
      <c r="C7608" t="s">
        <v>7479</v>
      </c>
    </row>
    <row r="7609" spans="1:3" x14ac:dyDescent="0.25">
      <c r="A7609" t="str">
        <f>"0611834265100"</f>
        <v>0611834265100</v>
      </c>
      <c r="B7609" t="str">
        <f>"LK5798"</f>
        <v>LK5798</v>
      </c>
      <c r="C7609" t="s">
        <v>7480</v>
      </c>
    </row>
    <row r="7610" spans="1:3" x14ac:dyDescent="0.25">
      <c r="A7610" t="str">
        <f>"0611834266100"</f>
        <v>0611834266100</v>
      </c>
      <c r="B7610" t="str">
        <f>"LB4336"</f>
        <v>LB4336</v>
      </c>
      <c r="C7610" t="s">
        <v>7481</v>
      </c>
    </row>
    <row r="7611" spans="1:3" x14ac:dyDescent="0.25">
      <c r="A7611" t="str">
        <f>"0611834267100"</f>
        <v>0611834267100</v>
      </c>
      <c r="B7611" t="str">
        <f>"LB0215"</f>
        <v>LB0215</v>
      </c>
      <c r="C7611" t="s">
        <v>7482</v>
      </c>
    </row>
    <row r="7612" spans="1:3" x14ac:dyDescent="0.25">
      <c r="A7612" t="str">
        <f>"0611834269100"</f>
        <v>0611834269100</v>
      </c>
      <c r="B7612" t="str">
        <f>"LB0216"</f>
        <v>LB0216</v>
      </c>
      <c r="C7612" t="s">
        <v>7483</v>
      </c>
    </row>
    <row r="7613" spans="1:3" x14ac:dyDescent="0.25">
      <c r="A7613" t="str">
        <f>"0611834273100"</f>
        <v>0611834273100</v>
      </c>
      <c r="B7613" t="str">
        <f>"LB4367"</f>
        <v>LB4367</v>
      </c>
      <c r="C7613" t="s">
        <v>7484</v>
      </c>
    </row>
    <row r="7614" spans="1:3" x14ac:dyDescent="0.25">
      <c r="A7614" t="str">
        <f>"0611834271100"</f>
        <v>0611834271100</v>
      </c>
      <c r="B7614" t="str">
        <f>"LK7013"</f>
        <v>LK7013</v>
      </c>
      <c r="C7614" t="s">
        <v>7485</v>
      </c>
    </row>
    <row r="7615" spans="1:3" x14ac:dyDescent="0.25">
      <c r="A7615" t="str">
        <f>"0611834276100"</f>
        <v>0611834276100</v>
      </c>
      <c r="B7615" t="str">
        <f>"LK5799"</f>
        <v>LK5799</v>
      </c>
      <c r="C7615" t="s">
        <v>7486</v>
      </c>
    </row>
    <row r="7616" spans="1:3" x14ac:dyDescent="0.25">
      <c r="A7616" t="str">
        <f>"0611863220100"</f>
        <v>0611863220100</v>
      </c>
      <c r="B7616" t="str">
        <f>"CN5254"</f>
        <v>CN5254</v>
      </c>
      <c r="C7616" t="s">
        <v>7487</v>
      </c>
    </row>
    <row r="7617" spans="1:3" x14ac:dyDescent="0.25">
      <c r="A7617" t="str">
        <f>"0611863221100"</f>
        <v>0611863221100</v>
      </c>
      <c r="B7617" t="str">
        <f>"CN5253"</f>
        <v>CN5253</v>
      </c>
      <c r="C7617" t="s">
        <v>7488</v>
      </c>
    </row>
    <row r="7618" spans="1:3" x14ac:dyDescent="0.25">
      <c r="A7618" t="str">
        <f>"0611836142025"</f>
        <v>0611836142025</v>
      </c>
      <c r="B7618" t="str">
        <f>"MC0499"</f>
        <v>MC0499</v>
      </c>
      <c r="C7618" t="s">
        <v>7489</v>
      </c>
    </row>
    <row r="7619" spans="1:3" x14ac:dyDescent="0.25">
      <c r="A7619" t="str">
        <f>"0611863222100"</f>
        <v>0611863222100</v>
      </c>
      <c r="B7619" t="str">
        <f>"CN2313"</f>
        <v>CN2313</v>
      </c>
      <c r="C7619" t="s">
        <v>7490</v>
      </c>
    </row>
    <row r="7620" spans="1:3" x14ac:dyDescent="0.25">
      <c r="A7620" t="str">
        <f>"0611836143025"</f>
        <v>0611836143025</v>
      </c>
      <c r="B7620" t="str">
        <f>"MC2012"</f>
        <v>MC2012</v>
      </c>
      <c r="C7620" t="s">
        <v>7491</v>
      </c>
    </row>
    <row r="7621" spans="1:3" x14ac:dyDescent="0.25">
      <c r="A7621" t="str">
        <f>"0611836144025"</f>
        <v>0611836144025</v>
      </c>
      <c r="B7621" t="str">
        <f>"MC4388"</f>
        <v>MC4388</v>
      </c>
      <c r="C7621" t="s">
        <v>7492</v>
      </c>
    </row>
    <row r="7622" spans="1:3" x14ac:dyDescent="0.25">
      <c r="A7622" t="str">
        <f>"0611906836025"</f>
        <v>0611906836025</v>
      </c>
      <c r="B7622" t="str">
        <f>"MC4568"</f>
        <v>MC4568</v>
      </c>
      <c r="C7622" t="s">
        <v>7493</v>
      </c>
    </row>
    <row r="7623" spans="1:3" x14ac:dyDescent="0.25">
      <c r="A7623" t="str">
        <f>"0611857023025"</f>
        <v>0611857023025</v>
      </c>
      <c r="B7623" t="str">
        <f>"MC4444"</f>
        <v>MC4444</v>
      </c>
      <c r="C7623" t="s">
        <v>7494</v>
      </c>
    </row>
    <row r="7624" spans="1:3" x14ac:dyDescent="0.25">
      <c r="A7624" t="str">
        <f>"0611834799100"</f>
        <v>0611834799100</v>
      </c>
      <c r="B7624" t="str">
        <f>"LK2715"</f>
        <v>LK2715</v>
      </c>
      <c r="C7624" t="s">
        <v>6737</v>
      </c>
    </row>
    <row r="7625" spans="1:3" x14ac:dyDescent="0.25">
      <c r="A7625" t="str">
        <f>"0611836145100"</f>
        <v>0611836145100</v>
      </c>
      <c r="B7625" t="str">
        <f>"LQ5524"</f>
        <v>LQ5524</v>
      </c>
      <c r="C7625" t="s">
        <v>7495</v>
      </c>
    </row>
    <row r="7626" spans="1:3" x14ac:dyDescent="0.25">
      <c r="A7626" t="str">
        <f>"0611863223050"</f>
        <v>0611863223050</v>
      </c>
      <c r="B7626" t="str">
        <f>"CR2653"</f>
        <v>CR2653</v>
      </c>
      <c r="C7626" t="s">
        <v>7496</v>
      </c>
    </row>
    <row r="7627" spans="1:3" x14ac:dyDescent="0.25">
      <c r="A7627" t="str">
        <f>"0611863224050"</f>
        <v>0611863224050</v>
      </c>
      <c r="B7627" t="str">
        <f>"CR3723"</f>
        <v>CR3723</v>
      </c>
      <c r="C7627" t="s">
        <v>7497</v>
      </c>
    </row>
    <row r="7628" spans="1:3" x14ac:dyDescent="0.25">
      <c r="A7628" t="str">
        <f>"0611863225050"</f>
        <v>0611863225050</v>
      </c>
      <c r="B7628" t="str">
        <f>"CR3123"</f>
        <v>CR3123</v>
      </c>
      <c r="C7628" t="s">
        <v>7498</v>
      </c>
    </row>
    <row r="7629" spans="1:3" x14ac:dyDescent="0.25">
      <c r="A7629" t="str">
        <f>"0611863226050"</f>
        <v>0611863226050</v>
      </c>
      <c r="B7629" t="str">
        <f>"CR3124"</f>
        <v>CR3124</v>
      </c>
      <c r="C7629" t="s">
        <v>7499</v>
      </c>
    </row>
    <row r="7630" spans="1:3" x14ac:dyDescent="0.25">
      <c r="A7630" t="str">
        <f>"0611863227050"</f>
        <v>0611863227050</v>
      </c>
      <c r="B7630" t="str">
        <f>"CR3126"</f>
        <v>CR3126</v>
      </c>
      <c r="C7630" t="s">
        <v>7500</v>
      </c>
    </row>
    <row r="7631" spans="1:3" x14ac:dyDescent="0.25">
      <c r="A7631" t="str">
        <f>"0611863228050"</f>
        <v>0611863228050</v>
      </c>
      <c r="B7631" t="str">
        <f>"CR3127"</f>
        <v>CR3127</v>
      </c>
      <c r="C7631" t="s">
        <v>7501</v>
      </c>
    </row>
    <row r="7632" spans="1:3" x14ac:dyDescent="0.25">
      <c r="A7632" t="str">
        <f>"0611863229050"</f>
        <v>0611863229050</v>
      </c>
      <c r="B7632" t="str">
        <f>"CR3128"</f>
        <v>CR3128</v>
      </c>
      <c r="C7632" t="s">
        <v>7502</v>
      </c>
    </row>
    <row r="7633" spans="1:3" x14ac:dyDescent="0.25">
      <c r="A7633" t="str">
        <f>"0611836161100"</f>
        <v>0611836161100</v>
      </c>
      <c r="B7633" t="str">
        <f>"LS0074"</f>
        <v>LS0074</v>
      </c>
      <c r="C7633" t="s">
        <v>7517</v>
      </c>
    </row>
    <row r="7634" spans="1:3" x14ac:dyDescent="0.25">
      <c r="A7634" t="str">
        <f>"0611836148100"</f>
        <v>0611836148100</v>
      </c>
      <c r="B7634" t="str">
        <f>"LK5278"</f>
        <v>LK5278</v>
      </c>
      <c r="C7634" t="s">
        <v>7504</v>
      </c>
    </row>
    <row r="7635" spans="1:3" x14ac:dyDescent="0.25">
      <c r="A7635" t="str">
        <f>"0611836147100"</f>
        <v>0611836147100</v>
      </c>
      <c r="B7635" t="str">
        <f>"LB4435"</f>
        <v>LB4435</v>
      </c>
      <c r="C7635" t="s">
        <v>7503</v>
      </c>
    </row>
    <row r="7636" spans="1:3" x14ac:dyDescent="0.25">
      <c r="A7636" t="str">
        <f>"0611836150100"</f>
        <v>0611836150100</v>
      </c>
      <c r="B7636" t="str">
        <f>"LB4456"</f>
        <v>LB4456</v>
      </c>
      <c r="C7636" t="s">
        <v>7505</v>
      </c>
    </row>
    <row r="7637" spans="1:3" x14ac:dyDescent="0.25">
      <c r="A7637" t="str">
        <f>"0611836151100"</f>
        <v>0611836151100</v>
      </c>
      <c r="B7637" t="str">
        <f>"LH5327"</f>
        <v>LH5327</v>
      </c>
      <c r="C7637" t="s">
        <v>7506</v>
      </c>
    </row>
    <row r="7638" spans="1:3" x14ac:dyDescent="0.25">
      <c r="A7638" t="str">
        <f>"0611836152025"</f>
        <v>0611836152025</v>
      </c>
      <c r="B7638" t="str">
        <f>"MC0500"</f>
        <v>MC0500</v>
      </c>
      <c r="C7638" t="s">
        <v>7507</v>
      </c>
    </row>
    <row r="7639" spans="1:3" x14ac:dyDescent="0.25">
      <c r="A7639" t="str">
        <f>"0611836153100"</f>
        <v>0611836153100</v>
      </c>
      <c r="B7639" t="str">
        <f>"LB4461"</f>
        <v>LB4461</v>
      </c>
      <c r="C7639" t="s">
        <v>7508</v>
      </c>
    </row>
    <row r="7640" spans="1:3" x14ac:dyDescent="0.25">
      <c r="A7640" t="str">
        <f>"0611836154100"</f>
        <v>0611836154100</v>
      </c>
      <c r="B7640" t="str">
        <f>"LB4459"</f>
        <v>LB4459</v>
      </c>
      <c r="C7640" t="s">
        <v>7510</v>
      </c>
    </row>
    <row r="7641" spans="1:3" x14ac:dyDescent="0.25">
      <c r="A7641" t="str">
        <f>"0611836158025"</f>
        <v>0611836158025</v>
      </c>
      <c r="B7641" t="str">
        <f>"MC1281"</f>
        <v>MC1281</v>
      </c>
      <c r="C7641" t="s">
        <v>7512</v>
      </c>
    </row>
    <row r="7642" spans="1:3" x14ac:dyDescent="0.25">
      <c r="A7642" t="str">
        <f>"0611884295100"</f>
        <v>0611884295100</v>
      </c>
      <c r="B7642" t="str">
        <f>"LQ6294"</f>
        <v>LQ6294</v>
      </c>
      <c r="C7642" t="s">
        <v>7513</v>
      </c>
    </row>
    <row r="7643" spans="1:3" x14ac:dyDescent="0.25">
      <c r="A7643" t="str">
        <f>"0611836159100"</f>
        <v>0611836159100</v>
      </c>
      <c r="B7643" t="str">
        <f>"LQ6199"</f>
        <v>LQ6199</v>
      </c>
      <c r="C7643" t="s">
        <v>7514</v>
      </c>
    </row>
    <row r="7644" spans="1:3" x14ac:dyDescent="0.25">
      <c r="A7644" t="str">
        <f>"0611836160100"</f>
        <v>0611836160100</v>
      </c>
      <c r="B7644" t="str">
        <f>"LQ6200"</f>
        <v>LQ6200</v>
      </c>
      <c r="C7644" t="s">
        <v>7515</v>
      </c>
    </row>
    <row r="7645" spans="1:3" x14ac:dyDescent="0.25">
      <c r="A7645" t="str">
        <f>"0611836162100"</f>
        <v>0611836162100</v>
      </c>
      <c r="B7645" t="str">
        <f>"LQ3839"</f>
        <v>LQ3839</v>
      </c>
      <c r="C7645" t="s">
        <v>7518</v>
      </c>
    </row>
    <row r="7646" spans="1:3" x14ac:dyDescent="0.25">
      <c r="A7646" t="str">
        <f>"0611836163100"</f>
        <v>0611836163100</v>
      </c>
      <c r="B7646" t="str">
        <f>"LQ0078"</f>
        <v>LQ0078</v>
      </c>
      <c r="C7646" t="s">
        <v>7519</v>
      </c>
    </row>
    <row r="7647" spans="1:3" x14ac:dyDescent="0.25">
      <c r="A7647" t="str">
        <f>"0611863232050"</f>
        <v>0611863232050</v>
      </c>
      <c r="B7647" t="str">
        <f>"CR3385"</f>
        <v>CR3385</v>
      </c>
      <c r="C7647" t="s">
        <v>7520</v>
      </c>
    </row>
    <row r="7648" spans="1:3" x14ac:dyDescent="0.25">
      <c r="A7648" t="str">
        <f>"0611836164100"</f>
        <v>0611836164100</v>
      </c>
      <c r="B7648" t="str">
        <f>"LQ0317"</f>
        <v>LQ0317</v>
      </c>
      <c r="C7648" t="s">
        <v>7521</v>
      </c>
    </row>
    <row r="7649" spans="1:3" x14ac:dyDescent="0.25">
      <c r="A7649" t="str">
        <f>"0611863233050"</f>
        <v>0611863233050</v>
      </c>
      <c r="B7649" t="str">
        <f>"CR2371"</f>
        <v>CR2371</v>
      </c>
      <c r="C7649" t="s">
        <v>7522</v>
      </c>
    </row>
    <row r="7650" spans="1:3" x14ac:dyDescent="0.25">
      <c r="A7650" t="str">
        <f>"0611836165100"</f>
        <v>0611836165100</v>
      </c>
      <c r="B7650" t="str">
        <f>"LQ3840"</f>
        <v>LQ3840</v>
      </c>
      <c r="C7650" t="s">
        <v>7523</v>
      </c>
    </row>
    <row r="7651" spans="1:3" x14ac:dyDescent="0.25">
      <c r="A7651" t="str">
        <f>"0611836166100"</f>
        <v>0611836166100</v>
      </c>
      <c r="B7651" t="str">
        <f>"LQ0804"</f>
        <v>LQ0804</v>
      </c>
      <c r="C7651" t="s">
        <v>7524</v>
      </c>
    </row>
    <row r="7652" spans="1:3" x14ac:dyDescent="0.25">
      <c r="A7652" t="str">
        <f>"0611863234050"</f>
        <v>0611863234050</v>
      </c>
      <c r="B7652" t="str">
        <f>"CR2372"</f>
        <v>CR2372</v>
      </c>
      <c r="C7652" t="s">
        <v>7525</v>
      </c>
    </row>
    <row r="7653" spans="1:3" x14ac:dyDescent="0.25">
      <c r="A7653" t="str">
        <f>"0611836167100"</f>
        <v>0611836167100</v>
      </c>
      <c r="B7653" t="str">
        <f>"LQ3841"</f>
        <v>LQ3841</v>
      </c>
      <c r="C7653" t="s">
        <v>7526</v>
      </c>
    </row>
    <row r="7654" spans="1:3" x14ac:dyDescent="0.25">
      <c r="A7654" t="str">
        <f>"0611836169100"</f>
        <v>0611836169100</v>
      </c>
      <c r="B7654" t="str">
        <f>"LQ3842"</f>
        <v>LQ3842</v>
      </c>
      <c r="C7654" t="s">
        <v>7527</v>
      </c>
    </row>
    <row r="7655" spans="1:3" x14ac:dyDescent="0.25">
      <c r="A7655" t="str">
        <f>"0611884296100"</f>
        <v>0611884296100</v>
      </c>
      <c r="B7655" t="str">
        <f>"LQ3917"</f>
        <v>LQ3917</v>
      </c>
      <c r="C7655" t="s">
        <v>7528</v>
      </c>
    </row>
    <row r="7656" spans="1:3" x14ac:dyDescent="0.25">
      <c r="A7656" t="str">
        <f>"0611863235050"</f>
        <v>0611863235050</v>
      </c>
      <c r="B7656" t="str">
        <f>"CR4073"</f>
        <v>CR4073</v>
      </c>
      <c r="C7656" t="s">
        <v>7529</v>
      </c>
    </row>
    <row r="7657" spans="1:3" x14ac:dyDescent="0.25">
      <c r="A7657" t="str">
        <f>"0611863236050"</f>
        <v>0611863236050</v>
      </c>
      <c r="B7657" t="str">
        <f>"CR4967"</f>
        <v>CR4967</v>
      </c>
      <c r="C7657" t="s">
        <v>7530</v>
      </c>
    </row>
    <row r="7658" spans="1:3" x14ac:dyDescent="0.25">
      <c r="A7658" t="str">
        <f>"0611863237050"</f>
        <v>0611863237050</v>
      </c>
      <c r="B7658" t="str">
        <f>"CR4968"</f>
        <v>CR4968</v>
      </c>
      <c r="C7658" t="s">
        <v>7531</v>
      </c>
    </row>
    <row r="7659" spans="1:3" x14ac:dyDescent="0.25">
      <c r="A7659" t="str">
        <f>"0611863238050"</f>
        <v>0611863238050</v>
      </c>
      <c r="B7659" t="str">
        <f>"CR4969"</f>
        <v>CR4969</v>
      </c>
      <c r="C7659" t="s">
        <v>7532</v>
      </c>
    </row>
    <row r="7660" spans="1:3" x14ac:dyDescent="0.25">
      <c r="A7660" t="str">
        <f>"0611863239050"</f>
        <v>0611863239050</v>
      </c>
      <c r="B7660" t="str">
        <f>"CR4970"</f>
        <v>CR4970</v>
      </c>
      <c r="C7660" t="s">
        <v>7533</v>
      </c>
    </row>
    <row r="7661" spans="1:3" x14ac:dyDescent="0.25">
      <c r="A7661" t="str">
        <f>"0611863240050"</f>
        <v>0611863240050</v>
      </c>
      <c r="B7661" t="str">
        <f>"CR4971"</f>
        <v>CR4971</v>
      </c>
      <c r="C7661" t="s">
        <v>7534</v>
      </c>
    </row>
    <row r="7662" spans="1:3" x14ac:dyDescent="0.25">
      <c r="A7662" t="str">
        <f>"0611863241050"</f>
        <v>0611863241050</v>
      </c>
      <c r="B7662" t="str">
        <f>"CR4972"</f>
        <v>CR4972</v>
      </c>
      <c r="C7662" t="s">
        <v>7535</v>
      </c>
    </row>
    <row r="7663" spans="1:3" x14ac:dyDescent="0.25">
      <c r="A7663" t="str">
        <f>"0611836172100"</f>
        <v>0611836172100</v>
      </c>
      <c r="B7663" t="str">
        <f>"LQ3843"</f>
        <v>LQ3843</v>
      </c>
      <c r="C7663" t="s">
        <v>7537</v>
      </c>
    </row>
    <row r="7664" spans="1:3" x14ac:dyDescent="0.25">
      <c r="A7664" t="str">
        <f>"0611836173100"</f>
        <v>0611836173100</v>
      </c>
      <c r="B7664" t="str">
        <f>"LQ0752"</f>
        <v>LQ0752</v>
      </c>
      <c r="C7664" t="s">
        <v>7538</v>
      </c>
    </row>
    <row r="7665" spans="1:3" x14ac:dyDescent="0.25">
      <c r="A7665" t="str">
        <f>"0611863242050"</f>
        <v>0611863242050</v>
      </c>
      <c r="B7665" t="str">
        <f>"CR2374"</f>
        <v>CR2374</v>
      </c>
      <c r="C7665" t="s">
        <v>7539</v>
      </c>
    </row>
    <row r="7666" spans="1:3" x14ac:dyDescent="0.25">
      <c r="A7666" t="str">
        <f>"0611836174100"</f>
        <v>0611836174100</v>
      </c>
      <c r="B7666" t="str">
        <f>"LQ0753"</f>
        <v>LQ0753</v>
      </c>
      <c r="C7666" t="s">
        <v>7540</v>
      </c>
    </row>
    <row r="7667" spans="1:3" x14ac:dyDescent="0.25">
      <c r="A7667" t="str">
        <f>"0611863243050"</f>
        <v>0611863243050</v>
      </c>
      <c r="B7667" t="str">
        <f>"CR2375"</f>
        <v>CR2375</v>
      </c>
      <c r="C7667" t="s">
        <v>7541</v>
      </c>
    </row>
    <row r="7668" spans="1:3" x14ac:dyDescent="0.25">
      <c r="A7668" t="str">
        <f>"0611836175100"</f>
        <v>0611836175100</v>
      </c>
      <c r="B7668" t="str">
        <f>"LQ0142"</f>
        <v>LQ0142</v>
      </c>
      <c r="C7668" t="s">
        <v>7542</v>
      </c>
    </row>
    <row r="7669" spans="1:3" x14ac:dyDescent="0.25">
      <c r="A7669" t="str">
        <f>"0611836176100"</f>
        <v>0611836176100</v>
      </c>
      <c r="B7669" t="str">
        <f>"LQ0806"</f>
        <v>LQ0806</v>
      </c>
      <c r="C7669" t="s">
        <v>7543</v>
      </c>
    </row>
    <row r="7670" spans="1:3" x14ac:dyDescent="0.25">
      <c r="A7670" t="str">
        <f>"0611863244050"</f>
        <v>0611863244050</v>
      </c>
      <c r="B7670" t="str">
        <f>"CR3270"</f>
        <v>CR3270</v>
      </c>
      <c r="C7670" t="s">
        <v>7544</v>
      </c>
    </row>
    <row r="7671" spans="1:3" x14ac:dyDescent="0.25">
      <c r="A7671" t="str">
        <f>"0611836177100"</f>
        <v>0611836177100</v>
      </c>
      <c r="B7671" t="str">
        <f>"LQ0287"</f>
        <v>LQ0287</v>
      </c>
      <c r="C7671" t="s">
        <v>7545</v>
      </c>
    </row>
    <row r="7672" spans="1:3" x14ac:dyDescent="0.25">
      <c r="A7672" t="str">
        <f>"0611863245050"</f>
        <v>0611863245050</v>
      </c>
      <c r="B7672" t="str">
        <f>"CR2976"</f>
        <v>CR2976</v>
      </c>
      <c r="C7672" t="s">
        <v>7546</v>
      </c>
    </row>
    <row r="7673" spans="1:3" x14ac:dyDescent="0.25">
      <c r="A7673" t="str">
        <f>"0611836178100"</f>
        <v>0611836178100</v>
      </c>
      <c r="B7673" t="str">
        <f>"LQ0319"</f>
        <v>LQ0319</v>
      </c>
      <c r="C7673" t="s">
        <v>7547</v>
      </c>
    </row>
    <row r="7674" spans="1:3" x14ac:dyDescent="0.25">
      <c r="A7674" t="str">
        <f>"0611863246050"</f>
        <v>0611863246050</v>
      </c>
      <c r="B7674" t="str">
        <f>"CR2376"</f>
        <v>CR2376</v>
      </c>
      <c r="C7674" t="s">
        <v>7548</v>
      </c>
    </row>
    <row r="7675" spans="1:3" x14ac:dyDescent="0.25">
      <c r="A7675" t="str">
        <f>"0611836179100"</f>
        <v>0611836179100</v>
      </c>
      <c r="B7675" t="str">
        <f>"LQ3844"</f>
        <v>LQ3844</v>
      </c>
      <c r="C7675" t="s">
        <v>7549</v>
      </c>
    </row>
    <row r="7676" spans="1:3" x14ac:dyDescent="0.25">
      <c r="A7676" t="str">
        <f>"0611884297100"</f>
        <v>0611884297100</v>
      </c>
      <c r="B7676" t="str">
        <f>"LQ3918"</f>
        <v>LQ3918</v>
      </c>
      <c r="C7676" t="s">
        <v>7536</v>
      </c>
    </row>
    <row r="7677" spans="1:3" x14ac:dyDescent="0.25">
      <c r="A7677" t="str">
        <f>"0611836180100"</f>
        <v>0611836180100</v>
      </c>
      <c r="B7677" t="str">
        <f>"MB4425"</f>
        <v>MB4425</v>
      </c>
      <c r="C7677" t="s">
        <v>7516</v>
      </c>
    </row>
    <row r="7678" spans="1:3" x14ac:dyDescent="0.25">
      <c r="A7678" t="str">
        <f>"0611857024100"</f>
        <v>0611857024100</v>
      </c>
      <c r="B7678" t="str">
        <f>"LQ3871"</f>
        <v>LQ3871</v>
      </c>
      <c r="C7678" t="s">
        <v>7550</v>
      </c>
    </row>
    <row r="7679" spans="1:3" x14ac:dyDescent="0.25">
      <c r="A7679" t="str">
        <f>"0611906837100"</f>
        <v>0611906837100</v>
      </c>
      <c r="B7679" t="str">
        <f>"LK7263"</f>
        <v>LK7263</v>
      </c>
      <c r="C7679" t="s">
        <v>7551</v>
      </c>
    </row>
    <row r="7680" spans="1:3" x14ac:dyDescent="0.25">
      <c r="A7680" t="str">
        <f>"0611836181100"</f>
        <v>0611836181100</v>
      </c>
      <c r="B7680" t="str">
        <f>"LB4473"</f>
        <v>LB4473</v>
      </c>
      <c r="C7680" t="s">
        <v>7552</v>
      </c>
    </row>
    <row r="7681" spans="1:3" x14ac:dyDescent="0.25">
      <c r="A7681" t="str">
        <f>"0611836182100"</f>
        <v>0611836182100</v>
      </c>
      <c r="B7681" t="str">
        <f>"LB4474"</f>
        <v>LB4474</v>
      </c>
      <c r="C7681" t="s">
        <v>7553</v>
      </c>
    </row>
    <row r="7682" spans="1:3" x14ac:dyDescent="0.25">
      <c r="A7682" t="str">
        <f>"0611836183100"</f>
        <v>0611836183100</v>
      </c>
      <c r="B7682" t="str">
        <f>"LB4478"</f>
        <v>LB4478</v>
      </c>
      <c r="C7682" t="s">
        <v>7554</v>
      </c>
    </row>
    <row r="7683" spans="1:3" x14ac:dyDescent="0.25">
      <c r="A7683" t="str">
        <f>"0611836184100"</f>
        <v>0611836184100</v>
      </c>
      <c r="B7683" t="str">
        <f>"LK3398"</f>
        <v>LK3398</v>
      </c>
      <c r="C7683" t="s">
        <v>7555</v>
      </c>
    </row>
    <row r="7684" spans="1:3" x14ac:dyDescent="0.25">
      <c r="A7684" t="str">
        <f>"0611836185100"</f>
        <v>0611836185100</v>
      </c>
      <c r="B7684" t="str">
        <f>"LB4475"</f>
        <v>LB4475</v>
      </c>
      <c r="C7684" t="s">
        <v>7556</v>
      </c>
    </row>
    <row r="7685" spans="1:3" x14ac:dyDescent="0.25">
      <c r="A7685" t="str">
        <f>"0611836186025"</f>
        <v>0611836186025</v>
      </c>
      <c r="B7685" t="str">
        <f>"MC0501"</f>
        <v>MC0501</v>
      </c>
      <c r="C7685" t="s">
        <v>7557</v>
      </c>
    </row>
    <row r="7686" spans="1:3" x14ac:dyDescent="0.25">
      <c r="A7686" t="str">
        <f>"0611836187100"</f>
        <v>0611836187100</v>
      </c>
      <c r="B7686" t="str">
        <f>"LB4441"</f>
        <v>LB4441</v>
      </c>
      <c r="C7686" t="s">
        <v>7558</v>
      </c>
    </row>
    <row r="7687" spans="1:3" x14ac:dyDescent="0.25">
      <c r="A7687" t="str">
        <f>"0611836188100"</f>
        <v>0611836188100</v>
      </c>
      <c r="B7687" t="str">
        <f>"LB4487"</f>
        <v>LB4487</v>
      </c>
      <c r="C7687" t="s">
        <v>7559</v>
      </c>
    </row>
    <row r="7688" spans="1:3" x14ac:dyDescent="0.25">
      <c r="A7688" t="str">
        <f>"0611836190100"</f>
        <v>0611836190100</v>
      </c>
      <c r="B7688" t="str">
        <f>"LB4488"</f>
        <v>LB4488</v>
      </c>
      <c r="C7688" t="s">
        <v>7560</v>
      </c>
    </row>
    <row r="7689" spans="1:3" x14ac:dyDescent="0.25">
      <c r="A7689" t="str">
        <f>"0611836191100"</f>
        <v>0611836191100</v>
      </c>
      <c r="B7689" t="str">
        <f>"LB4442"</f>
        <v>LB4442</v>
      </c>
      <c r="C7689" t="s">
        <v>7561</v>
      </c>
    </row>
    <row r="7690" spans="1:3" x14ac:dyDescent="0.25">
      <c r="A7690" t="str">
        <f>"0611836192100"</f>
        <v>0611836192100</v>
      </c>
      <c r="B7690" t="str">
        <f>"LB4443"</f>
        <v>LB4443</v>
      </c>
      <c r="C7690" t="s">
        <v>7562</v>
      </c>
    </row>
    <row r="7691" spans="1:3" x14ac:dyDescent="0.25">
      <c r="A7691" t="str">
        <f>"0611836193100"</f>
        <v>0611836193100</v>
      </c>
      <c r="B7691" t="str">
        <f>"LB4444"</f>
        <v>LB4444</v>
      </c>
      <c r="C7691" t="s">
        <v>7563</v>
      </c>
    </row>
    <row r="7692" spans="1:3" x14ac:dyDescent="0.25">
      <c r="A7692" t="str">
        <f>"0611836194100"</f>
        <v>0611836194100</v>
      </c>
      <c r="B7692" t="str">
        <f>"LB4481"</f>
        <v>LB4481</v>
      </c>
      <c r="C7692" t="s">
        <v>7564</v>
      </c>
    </row>
    <row r="7693" spans="1:3" x14ac:dyDescent="0.25">
      <c r="A7693" t="str">
        <f>"0611836195100"</f>
        <v>0611836195100</v>
      </c>
      <c r="B7693" t="str">
        <f>"LB4489"</f>
        <v>LB4489</v>
      </c>
      <c r="C7693" t="s">
        <v>7565</v>
      </c>
    </row>
    <row r="7694" spans="1:3" x14ac:dyDescent="0.25">
      <c r="A7694" t="str">
        <f>"0611836196100"</f>
        <v>0611836196100</v>
      </c>
      <c r="B7694" t="str">
        <f>"LB4445"</f>
        <v>LB4445</v>
      </c>
      <c r="C7694" t="s">
        <v>7566</v>
      </c>
    </row>
    <row r="7695" spans="1:3" x14ac:dyDescent="0.25">
      <c r="A7695" t="str">
        <f>"0611857025100"</f>
        <v>0611857025100</v>
      </c>
      <c r="B7695" t="str">
        <f>"LQ3888"</f>
        <v>LQ3888</v>
      </c>
      <c r="C7695" t="s">
        <v>7567</v>
      </c>
    </row>
    <row r="7696" spans="1:3" x14ac:dyDescent="0.25">
      <c r="A7696" t="str">
        <f>"0611863247050"</f>
        <v>0611863247050</v>
      </c>
      <c r="B7696" t="str">
        <f>"CR5195"</f>
        <v>CR5195</v>
      </c>
      <c r="C7696" t="s">
        <v>7568</v>
      </c>
    </row>
    <row r="7697" spans="1:3" x14ac:dyDescent="0.25">
      <c r="A7697" t="str">
        <f>"0611857026100"</f>
        <v>0611857026100</v>
      </c>
      <c r="B7697" t="str">
        <f>"LQ3889"</f>
        <v>LQ3889</v>
      </c>
      <c r="C7697" t="s">
        <v>7569</v>
      </c>
    </row>
    <row r="7698" spans="1:3" x14ac:dyDescent="0.25">
      <c r="A7698" t="str">
        <f>"0611857027100"</f>
        <v>0611857027100</v>
      </c>
      <c r="B7698" t="str">
        <f>"LQ3890"</f>
        <v>LQ3890</v>
      </c>
      <c r="C7698" t="s">
        <v>7570</v>
      </c>
    </row>
    <row r="7699" spans="1:3" x14ac:dyDescent="0.25">
      <c r="A7699" t="str">
        <f>"0611863248050"</f>
        <v>0611863248050</v>
      </c>
      <c r="B7699" t="str">
        <f>"CR5196"</f>
        <v>CR5196</v>
      </c>
      <c r="C7699" t="s">
        <v>7571</v>
      </c>
    </row>
    <row r="7700" spans="1:3" x14ac:dyDescent="0.25">
      <c r="A7700" t="str">
        <f>"0611836197100"</f>
        <v>0611836197100</v>
      </c>
      <c r="B7700" t="str">
        <f>"LB4447"</f>
        <v>LB4447</v>
      </c>
      <c r="C7700" t="s">
        <v>7572</v>
      </c>
    </row>
    <row r="7701" spans="1:3" x14ac:dyDescent="0.25">
      <c r="A7701" t="str">
        <f>"0611836198100"</f>
        <v>0611836198100</v>
      </c>
      <c r="B7701" t="str">
        <f>"LB4427"</f>
        <v>LB4427</v>
      </c>
      <c r="C7701" t="s">
        <v>7573</v>
      </c>
    </row>
    <row r="7702" spans="1:3" x14ac:dyDescent="0.25">
      <c r="A7702" t="str">
        <f>"0611836199100"</f>
        <v>0611836199100</v>
      </c>
      <c r="B7702" t="str">
        <f>"LB4479"</f>
        <v>LB4479</v>
      </c>
      <c r="C7702" t="s">
        <v>7574</v>
      </c>
    </row>
    <row r="7703" spans="1:3" x14ac:dyDescent="0.25">
      <c r="A7703" t="str">
        <f>"0611836200100"</f>
        <v>0611836200100</v>
      </c>
      <c r="B7703" t="str">
        <f>"LB4448"</f>
        <v>LB4448</v>
      </c>
      <c r="C7703" t="s">
        <v>7575</v>
      </c>
    </row>
    <row r="7704" spans="1:3" x14ac:dyDescent="0.25">
      <c r="A7704" t="str">
        <f>"0611836201100"</f>
        <v>0611836201100</v>
      </c>
      <c r="B7704" t="str">
        <f>"LB4452"</f>
        <v>LB4452</v>
      </c>
      <c r="C7704" t="s">
        <v>7576</v>
      </c>
    </row>
    <row r="7705" spans="1:3" x14ac:dyDescent="0.25">
      <c r="A7705" t="str">
        <f>"0611836202100"</f>
        <v>0611836202100</v>
      </c>
      <c r="B7705" t="str">
        <f>"LB4468"</f>
        <v>LB4468</v>
      </c>
      <c r="C7705" t="s">
        <v>7577</v>
      </c>
    </row>
    <row r="7706" spans="1:3" x14ac:dyDescent="0.25">
      <c r="A7706" t="str">
        <f>"0611836203100"</f>
        <v>0611836203100</v>
      </c>
      <c r="B7706" t="str">
        <f>"LB4483"</f>
        <v>LB4483</v>
      </c>
      <c r="C7706" t="s">
        <v>7578</v>
      </c>
    </row>
    <row r="7707" spans="1:3" x14ac:dyDescent="0.25">
      <c r="A7707" t="str">
        <f>"0611836204100"</f>
        <v>0611836204100</v>
      </c>
      <c r="B7707" t="str">
        <f>"LB4480"</f>
        <v>LB4480</v>
      </c>
      <c r="C7707" t="s">
        <v>7579</v>
      </c>
    </row>
    <row r="7708" spans="1:3" x14ac:dyDescent="0.25">
      <c r="A7708" t="str">
        <f>"0611836206100"</f>
        <v>0611836206100</v>
      </c>
      <c r="B7708" t="str">
        <f>"LB4469"</f>
        <v>LB4469</v>
      </c>
      <c r="C7708" t="s">
        <v>7580</v>
      </c>
    </row>
    <row r="7709" spans="1:3" x14ac:dyDescent="0.25">
      <c r="A7709" t="str">
        <f>"0611836208100"</f>
        <v>0611836208100</v>
      </c>
      <c r="B7709" t="str">
        <f>"LQ3845"</f>
        <v>LQ3845</v>
      </c>
      <c r="C7709" t="s">
        <v>7581</v>
      </c>
    </row>
    <row r="7710" spans="1:3" x14ac:dyDescent="0.25">
      <c r="A7710" t="str">
        <f>"0611836209025"</f>
        <v>0611836209025</v>
      </c>
      <c r="B7710" t="str">
        <f>"MC0502"</f>
        <v>MC0502</v>
      </c>
      <c r="C7710" t="s">
        <v>7583</v>
      </c>
    </row>
    <row r="7711" spans="1:3" x14ac:dyDescent="0.25">
      <c r="A7711" t="str">
        <f>"0611836210100"</f>
        <v>0611836210100</v>
      </c>
      <c r="B7711" t="str">
        <f>"LK5279"</f>
        <v>LK5279</v>
      </c>
      <c r="C7711" t="s">
        <v>7584</v>
      </c>
    </row>
    <row r="7712" spans="1:3" x14ac:dyDescent="0.25">
      <c r="A7712" t="str">
        <f>"0611836211100"</f>
        <v>0611836211100</v>
      </c>
      <c r="B7712" t="str">
        <f>"LQ0062"</f>
        <v>LQ0062</v>
      </c>
      <c r="C7712" t="s">
        <v>7585</v>
      </c>
    </row>
    <row r="7713" spans="1:3" x14ac:dyDescent="0.25">
      <c r="A7713" t="str">
        <f>"0611836212100"</f>
        <v>0611836212100</v>
      </c>
      <c r="B7713" t="str">
        <f>"LQ0682"</f>
        <v>LQ0682</v>
      </c>
      <c r="C7713" t="s">
        <v>7586</v>
      </c>
    </row>
    <row r="7714" spans="1:3" x14ac:dyDescent="0.25">
      <c r="A7714" t="str">
        <f>"0611863230050"</f>
        <v>0611863230050</v>
      </c>
      <c r="B7714" t="str">
        <f>"CR3304"</f>
        <v>CR3304</v>
      </c>
      <c r="C7714" t="s">
        <v>7509</v>
      </c>
    </row>
    <row r="7715" spans="1:3" x14ac:dyDescent="0.25">
      <c r="A7715" t="str">
        <f>"0611836213100"</f>
        <v>0611836213100</v>
      </c>
      <c r="B7715" t="str">
        <f>"LQ3846"</f>
        <v>LQ3846</v>
      </c>
      <c r="C7715" t="s">
        <v>7587</v>
      </c>
    </row>
    <row r="7716" spans="1:3" x14ac:dyDescent="0.25">
      <c r="A7716" t="str">
        <f>"0611836214100"</f>
        <v>0611836214100</v>
      </c>
      <c r="B7716" t="str">
        <f>"LQ0594"</f>
        <v>LQ0594</v>
      </c>
      <c r="C7716" t="s">
        <v>7588</v>
      </c>
    </row>
    <row r="7717" spans="1:3" x14ac:dyDescent="0.25">
      <c r="A7717" t="str">
        <f>"0611863231050"</f>
        <v>0611863231050</v>
      </c>
      <c r="B7717" t="str">
        <f>"CR2654"</f>
        <v>CR2654</v>
      </c>
      <c r="C7717" t="s">
        <v>7511</v>
      </c>
    </row>
    <row r="7718" spans="1:3" x14ac:dyDescent="0.25">
      <c r="A7718" t="str">
        <f>"0611836215100"</f>
        <v>0611836215100</v>
      </c>
      <c r="B7718" t="str">
        <f>"LQ0288"</f>
        <v>LQ0288</v>
      </c>
      <c r="C7718" t="s">
        <v>7589</v>
      </c>
    </row>
    <row r="7719" spans="1:3" x14ac:dyDescent="0.25">
      <c r="A7719" t="str">
        <f>"0611863249050"</f>
        <v>0611863249050</v>
      </c>
      <c r="B7719" t="str">
        <f>"CR4973"</f>
        <v>CR4973</v>
      </c>
      <c r="C7719" t="s">
        <v>7582</v>
      </c>
    </row>
    <row r="7720" spans="1:3" x14ac:dyDescent="0.25">
      <c r="A7720" t="str">
        <f>"0611863250050"</f>
        <v>0611863250050</v>
      </c>
      <c r="B7720" t="str">
        <f>"CR3305"</f>
        <v>CR3305</v>
      </c>
      <c r="C7720" t="s">
        <v>7599</v>
      </c>
    </row>
    <row r="7721" spans="1:3" x14ac:dyDescent="0.25">
      <c r="A7721" t="str">
        <f>"0611836216100"</f>
        <v>0611836216100</v>
      </c>
      <c r="B7721" t="str">
        <f>"LQ5645"</f>
        <v>LQ5645</v>
      </c>
      <c r="C7721" t="s">
        <v>7590</v>
      </c>
    </row>
    <row r="7722" spans="1:3" x14ac:dyDescent="0.25">
      <c r="A7722" t="str">
        <f>"0611836217100"</f>
        <v>0611836217100</v>
      </c>
      <c r="B7722" t="str">
        <f>"LQ0063"</f>
        <v>LQ0063</v>
      </c>
      <c r="C7722" t="s">
        <v>7591</v>
      </c>
    </row>
    <row r="7723" spans="1:3" x14ac:dyDescent="0.25">
      <c r="A7723" t="str">
        <f>"0611836218025"</f>
        <v>0611836218025</v>
      </c>
      <c r="B7723" t="str">
        <f>"MC4352"</f>
        <v>MC4352</v>
      </c>
      <c r="C7723" t="s">
        <v>7592</v>
      </c>
    </row>
    <row r="7724" spans="1:3" x14ac:dyDescent="0.25">
      <c r="A7724" t="str">
        <f>"0611836219025"</f>
        <v>0611836219025</v>
      </c>
      <c r="B7724" t="str">
        <f>"MC4353"</f>
        <v>MC4353</v>
      </c>
      <c r="C7724" t="s">
        <v>7593</v>
      </c>
    </row>
    <row r="7725" spans="1:3" x14ac:dyDescent="0.25">
      <c r="A7725" t="str">
        <f>"0611836220025"</f>
        <v>0611836220025</v>
      </c>
      <c r="B7725" t="str">
        <f>"MC4048"</f>
        <v>MC4048</v>
      </c>
      <c r="C7725" t="s">
        <v>7594</v>
      </c>
    </row>
    <row r="7726" spans="1:3" x14ac:dyDescent="0.25">
      <c r="A7726" t="str">
        <f>"0611836221025"</f>
        <v>0611836221025</v>
      </c>
      <c r="B7726" t="str">
        <f>"MC4393"</f>
        <v>MC4393</v>
      </c>
      <c r="C7726" t="s">
        <v>7595</v>
      </c>
    </row>
    <row r="7727" spans="1:3" x14ac:dyDescent="0.25">
      <c r="A7727" t="str">
        <f>"0611836222025"</f>
        <v>0611836222025</v>
      </c>
      <c r="B7727" t="str">
        <f>"MC4354"</f>
        <v>MC4354</v>
      </c>
      <c r="C7727" t="s">
        <v>7596</v>
      </c>
    </row>
    <row r="7728" spans="1:3" x14ac:dyDescent="0.25">
      <c r="A7728" t="str">
        <f>"0611836223025"</f>
        <v>0611836223025</v>
      </c>
      <c r="B7728" t="str">
        <f>"MC3924"</f>
        <v>MC3924</v>
      </c>
      <c r="C7728" t="s">
        <v>7597</v>
      </c>
    </row>
    <row r="7729" spans="1:3" x14ac:dyDescent="0.25">
      <c r="A7729" t="str">
        <f>"0611906838100"</f>
        <v>0611906838100</v>
      </c>
      <c r="B7729" t="str">
        <f>"LQ3976"</f>
        <v>LQ3976</v>
      </c>
      <c r="C7729" t="s">
        <v>7598</v>
      </c>
    </row>
    <row r="7730" spans="1:3" x14ac:dyDescent="0.25">
      <c r="A7730" t="str">
        <f>"0611863251050"</f>
        <v>0611863251050</v>
      </c>
      <c r="B7730" t="str">
        <f>"CE0458"</f>
        <v>CE0458</v>
      </c>
      <c r="C7730" t="s">
        <v>7600</v>
      </c>
    </row>
    <row r="7731" spans="1:3" x14ac:dyDescent="0.25">
      <c r="A7731" t="str">
        <f>"0611863252050"</f>
        <v>0611863252050</v>
      </c>
      <c r="B7731" t="str">
        <f>"CE1357"</f>
        <v>CE1357</v>
      </c>
      <c r="C7731" t="s">
        <v>7601</v>
      </c>
    </row>
    <row r="7732" spans="1:3" x14ac:dyDescent="0.25">
      <c r="A7732" t="str">
        <f>"0611863253050"</f>
        <v>0611863253050</v>
      </c>
      <c r="B7732" t="str">
        <f>"CE1420"</f>
        <v>CE1420</v>
      </c>
      <c r="C7732" t="s">
        <v>7602</v>
      </c>
    </row>
    <row r="7733" spans="1:3" x14ac:dyDescent="0.25">
      <c r="A7733" t="str">
        <f>"0611884298050"</f>
        <v>0611884298050</v>
      </c>
      <c r="B7733" t="str">
        <f>"CE1750"</f>
        <v>CE1750</v>
      </c>
      <c r="C7733" t="s">
        <v>7603</v>
      </c>
    </row>
    <row r="7734" spans="1:3" x14ac:dyDescent="0.25">
      <c r="A7734" t="str">
        <f>"0611863254050"</f>
        <v>0611863254050</v>
      </c>
      <c r="B7734" t="str">
        <f>"CE1421"</f>
        <v>CE1421</v>
      </c>
      <c r="C7734" t="s">
        <v>7604</v>
      </c>
    </row>
    <row r="7735" spans="1:3" x14ac:dyDescent="0.25">
      <c r="A7735" t="str">
        <f>"0611863255050"</f>
        <v>0611863255050</v>
      </c>
      <c r="B7735" t="str">
        <f>"CE0464"</f>
        <v>CE0464</v>
      </c>
      <c r="C7735" t="s">
        <v>7605</v>
      </c>
    </row>
    <row r="7736" spans="1:3" x14ac:dyDescent="0.25">
      <c r="A7736" t="str">
        <f>"0611863256050"</f>
        <v>0611863256050</v>
      </c>
      <c r="B7736" t="str">
        <f>"CE0460"</f>
        <v>CE0460</v>
      </c>
      <c r="C7736" t="s">
        <v>7606</v>
      </c>
    </row>
    <row r="7737" spans="1:3" x14ac:dyDescent="0.25">
      <c r="A7737" t="str">
        <f>"0611863257050"</f>
        <v>0611863257050</v>
      </c>
      <c r="B7737" t="str">
        <f>"CE0827"</f>
        <v>CE0827</v>
      </c>
      <c r="C7737" t="s">
        <v>7607</v>
      </c>
    </row>
    <row r="7738" spans="1:3" x14ac:dyDescent="0.25">
      <c r="A7738" t="str">
        <f>"0611863258050"</f>
        <v>0611863258050</v>
      </c>
      <c r="B7738" t="str">
        <f>"CE1358"</f>
        <v>CE1358</v>
      </c>
      <c r="C7738" t="s">
        <v>7608</v>
      </c>
    </row>
    <row r="7739" spans="1:3" x14ac:dyDescent="0.25">
      <c r="A7739" t="str">
        <f>"0611863259050"</f>
        <v>0611863259050</v>
      </c>
      <c r="B7739" t="str">
        <f>"CE0465"</f>
        <v>CE0465</v>
      </c>
      <c r="C7739" t="s">
        <v>7609</v>
      </c>
    </row>
    <row r="7740" spans="1:3" x14ac:dyDescent="0.25">
      <c r="A7740" t="str">
        <f>"0611863260050"</f>
        <v>0611863260050</v>
      </c>
      <c r="B7740" t="str">
        <f>"CE1359"</f>
        <v>CE1359</v>
      </c>
      <c r="C7740" t="s">
        <v>7610</v>
      </c>
    </row>
    <row r="7741" spans="1:3" x14ac:dyDescent="0.25">
      <c r="A7741" t="str">
        <f>"0611863261050"</f>
        <v>0611863261050</v>
      </c>
      <c r="B7741" t="str">
        <f>"CE0469"</f>
        <v>CE0469</v>
      </c>
      <c r="C7741" t="s">
        <v>7611</v>
      </c>
    </row>
    <row r="7742" spans="1:3" x14ac:dyDescent="0.25">
      <c r="A7742" t="str">
        <f>"0611863262050"</f>
        <v>0611863262050</v>
      </c>
      <c r="B7742" t="str">
        <f>"CE1234"</f>
        <v>CE1234</v>
      </c>
      <c r="C7742" t="s">
        <v>7612</v>
      </c>
    </row>
    <row r="7743" spans="1:3" x14ac:dyDescent="0.25">
      <c r="A7743" t="str">
        <f>"0611863263050"</f>
        <v>0611863263050</v>
      </c>
      <c r="B7743" t="str">
        <f>"CE0470"</f>
        <v>CE0470</v>
      </c>
      <c r="C7743" t="s">
        <v>7613</v>
      </c>
    </row>
    <row r="7744" spans="1:3" x14ac:dyDescent="0.25">
      <c r="A7744" t="str">
        <f>"0611863264050"</f>
        <v>0611863264050</v>
      </c>
      <c r="B7744" t="str">
        <f>"CE1098"</f>
        <v>CE1098</v>
      </c>
      <c r="C7744" t="s">
        <v>7614</v>
      </c>
    </row>
    <row r="7745" spans="1:3" x14ac:dyDescent="0.25">
      <c r="A7745" t="str">
        <f>"0611863265050"</f>
        <v>0611863265050</v>
      </c>
      <c r="B7745" t="str">
        <f>"CE0471"</f>
        <v>CE0471</v>
      </c>
      <c r="C7745" t="s">
        <v>7615</v>
      </c>
    </row>
    <row r="7746" spans="1:3" x14ac:dyDescent="0.25">
      <c r="A7746" t="str">
        <f>"0611863266050"</f>
        <v>0611863266050</v>
      </c>
      <c r="B7746" t="str">
        <f>"CE0875"</f>
        <v>CE0875</v>
      </c>
      <c r="C7746" t="s">
        <v>7616</v>
      </c>
    </row>
    <row r="7747" spans="1:3" x14ac:dyDescent="0.25">
      <c r="A7747" t="str">
        <f>"0611863267050"</f>
        <v>0611863267050</v>
      </c>
      <c r="B7747" t="str">
        <f>"CE0466"</f>
        <v>CE0466</v>
      </c>
      <c r="C7747" t="s">
        <v>7617</v>
      </c>
    </row>
    <row r="7748" spans="1:3" x14ac:dyDescent="0.25">
      <c r="A7748" t="str">
        <f>"0611863268050"</f>
        <v>0611863268050</v>
      </c>
      <c r="B7748" t="str">
        <f>"CE0467"</f>
        <v>CE0467</v>
      </c>
      <c r="C7748" t="s">
        <v>7618</v>
      </c>
    </row>
    <row r="7749" spans="1:3" x14ac:dyDescent="0.25">
      <c r="A7749" t="str">
        <f>"0611863269050"</f>
        <v>0611863269050</v>
      </c>
      <c r="B7749" t="str">
        <f>"CE1720"</f>
        <v>CE1720</v>
      </c>
      <c r="C7749" t="s">
        <v>7619</v>
      </c>
    </row>
    <row r="7750" spans="1:3" x14ac:dyDescent="0.25">
      <c r="A7750" t="str">
        <f>"0611836224100"</f>
        <v>0611836224100</v>
      </c>
      <c r="B7750" t="str">
        <f>"LB4505"</f>
        <v>LB4505</v>
      </c>
      <c r="C7750" t="s">
        <v>7620</v>
      </c>
    </row>
    <row r="7751" spans="1:3" x14ac:dyDescent="0.25">
      <c r="A7751" t="str">
        <f>"0611836225100"</f>
        <v>0611836225100</v>
      </c>
      <c r="B7751" t="str">
        <f>"LB4510"</f>
        <v>LB4510</v>
      </c>
      <c r="C7751" t="s">
        <v>7621</v>
      </c>
    </row>
    <row r="7752" spans="1:3" x14ac:dyDescent="0.25">
      <c r="A7752" t="str">
        <f>"0611836226025"</f>
        <v>0611836226025</v>
      </c>
      <c r="B7752" t="str">
        <f>"MC3925"</f>
        <v>MC3925</v>
      </c>
      <c r="C7752" t="s">
        <v>7622</v>
      </c>
    </row>
    <row r="7753" spans="1:3" x14ac:dyDescent="0.25">
      <c r="A7753" t="str">
        <f>"0611836227100"</f>
        <v>0611836227100</v>
      </c>
      <c r="B7753" t="str">
        <f>"LB4525"</f>
        <v>LB4525</v>
      </c>
      <c r="C7753" t="s">
        <v>7623</v>
      </c>
    </row>
    <row r="7754" spans="1:3" x14ac:dyDescent="0.25">
      <c r="A7754" t="str">
        <f>"0611836228100"</f>
        <v>0611836228100</v>
      </c>
      <c r="B7754" t="str">
        <f>"LB4529"</f>
        <v>LB4529</v>
      </c>
      <c r="C7754" t="s">
        <v>7624</v>
      </c>
    </row>
    <row r="7755" spans="1:3" x14ac:dyDescent="0.25">
      <c r="A7755" t="str">
        <f>"0611884299025"</f>
        <v>0611884299025</v>
      </c>
      <c r="B7755" t="str">
        <f>"MC4527"</f>
        <v>MC4527</v>
      </c>
      <c r="C7755" t="s">
        <v>7625</v>
      </c>
    </row>
    <row r="7756" spans="1:3" x14ac:dyDescent="0.25">
      <c r="A7756" t="str">
        <f>"0611836232100"</f>
        <v>0611836232100</v>
      </c>
      <c r="B7756" t="str">
        <f>"LK1817"</f>
        <v>LK1817</v>
      </c>
      <c r="C7756" t="s">
        <v>7626</v>
      </c>
    </row>
    <row r="7757" spans="1:3" x14ac:dyDescent="0.25">
      <c r="A7757" t="str">
        <f>"0611836233100"</f>
        <v>0611836233100</v>
      </c>
      <c r="B7757" t="str">
        <f>"LS0003"</f>
        <v>LS0003</v>
      </c>
      <c r="C7757" t="s">
        <v>7627</v>
      </c>
    </row>
    <row r="7758" spans="1:3" x14ac:dyDescent="0.25">
      <c r="A7758" t="str">
        <f>"0611836234100"</f>
        <v>0611836234100</v>
      </c>
      <c r="B7758" t="str">
        <f>"LK5162"</f>
        <v>LK5162</v>
      </c>
      <c r="C7758" t="s">
        <v>7628</v>
      </c>
    </row>
    <row r="7759" spans="1:3" x14ac:dyDescent="0.25">
      <c r="A7759" t="str">
        <f>"0611836235100"</f>
        <v>0611836235100</v>
      </c>
      <c r="B7759" t="str">
        <f>"LK5684"</f>
        <v>LK5684</v>
      </c>
      <c r="C7759" t="s">
        <v>7629</v>
      </c>
    </row>
    <row r="7760" spans="1:3" x14ac:dyDescent="0.25">
      <c r="A7760" t="str">
        <f>"0611836236100"</f>
        <v>0611836236100</v>
      </c>
      <c r="B7760" t="str">
        <f>"LB0481"</f>
        <v>LB0481</v>
      </c>
      <c r="C7760" t="s">
        <v>7630</v>
      </c>
    </row>
    <row r="7761" spans="1:3" x14ac:dyDescent="0.25">
      <c r="A7761" t="str">
        <f>"0611836237100"</f>
        <v>0611836237100</v>
      </c>
      <c r="B7761" t="str">
        <f>"LK3770"</f>
        <v>LK3770</v>
      </c>
      <c r="C7761" t="s">
        <v>7631</v>
      </c>
    </row>
    <row r="7762" spans="1:3" x14ac:dyDescent="0.25">
      <c r="A7762" t="str">
        <f>"0611836238100"</f>
        <v>0611836238100</v>
      </c>
      <c r="B7762" t="str">
        <f>"LK3771"</f>
        <v>LK3771</v>
      </c>
      <c r="C7762" t="s">
        <v>7632</v>
      </c>
    </row>
    <row r="7763" spans="1:3" x14ac:dyDescent="0.25">
      <c r="A7763" t="str">
        <f>"0611836239100"</f>
        <v>0611836239100</v>
      </c>
      <c r="B7763" t="str">
        <f>"LK3772"</f>
        <v>LK3772</v>
      </c>
      <c r="C7763" t="s">
        <v>7633</v>
      </c>
    </row>
    <row r="7764" spans="1:3" x14ac:dyDescent="0.25">
      <c r="A7764" t="str">
        <f>"0611836240100"</f>
        <v>0611836240100</v>
      </c>
      <c r="B7764" t="str">
        <f>"LK3773"</f>
        <v>LK3773</v>
      </c>
      <c r="C7764" t="s">
        <v>7634</v>
      </c>
    </row>
    <row r="7765" spans="1:3" x14ac:dyDescent="0.25">
      <c r="A7765" t="str">
        <f>"0611836241100"</f>
        <v>0611836241100</v>
      </c>
      <c r="B7765" t="str">
        <f>"LB0471"</f>
        <v>LB0471</v>
      </c>
      <c r="C7765" t="s">
        <v>7635</v>
      </c>
    </row>
    <row r="7766" spans="1:3" x14ac:dyDescent="0.25">
      <c r="A7766" t="str">
        <f>"0611836242100"</f>
        <v>0611836242100</v>
      </c>
      <c r="B7766" t="str">
        <f>"LB0473"</f>
        <v>LB0473</v>
      </c>
      <c r="C7766" t="s">
        <v>7636</v>
      </c>
    </row>
    <row r="7767" spans="1:3" x14ac:dyDescent="0.25">
      <c r="A7767" t="str">
        <f>"0611836243100"</f>
        <v>0611836243100</v>
      </c>
      <c r="B7767" t="str">
        <f>"LB0469"</f>
        <v>LB0469</v>
      </c>
      <c r="C7767" t="s">
        <v>7637</v>
      </c>
    </row>
    <row r="7768" spans="1:3" x14ac:dyDescent="0.25">
      <c r="A7768" t="str">
        <f>"0611836244100"</f>
        <v>0611836244100</v>
      </c>
      <c r="B7768" t="str">
        <f>"LB0470"</f>
        <v>LB0470</v>
      </c>
      <c r="C7768" t="s">
        <v>7638</v>
      </c>
    </row>
    <row r="7769" spans="1:3" x14ac:dyDescent="0.25">
      <c r="A7769" t="str">
        <f>"0611836245100"</f>
        <v>0611836245100</v>
      </c>
      <c r="B7769" t="str">
        <f>"LK4777"</f>
        <v>LK4777</v>
      </c>
      <c r="C7769" t="s">
        <v>7639</v>
      </c>
    </row>
    <row r="7770" spans="1:3" x14ac:dyDescent="0.25">
      <c r="A7770" t="str">
        <f>"0611836246100"</f>
        <v>0611836246100</v>
      </c>
      <c r="B7770" t="str">
        <f>"LB0474"</f>
        <v>LB0474</v>
      </c>
      <c r="C7770" t="s">
        <v>7640</v>
      </c>
    </row>
    <row r="7771" spans="1:3" x14ac:dyDescent="0.25">
      <c r="A7771" t="str">
        <f>"0611836247100"</f>
        <v>0611836247100</v>
      </c>
      <c r="B7771" t="str">
        <f>"LK4618"</f>
        <v>LK4618</v>
      </c>
      <c r="C7771" t="s">
        <v>7641</v>
      </c>
    </row>
    <row r="7772" spans="1:3" x14ac:dyDescent="0.25">
      <c r="A7772" t="str">
        <f>"0611836248100"</f>
        <v>0611836248100</v>
      </c>
      <c r="B7772" t="str">
        <f>"LK4778"</f>
        <v>LK4778</v>
      </c>
      <c r="C7772" t="s">
        <v>7642</v>
      </c>
    </row>
    <row r="7773" spans="1:3" x14ac:dyDescent="0.25">
      <c r="A7773" t="str">
        <f>"0611836249100"</f>
        <v>0611836249100</v>
      </c>
      <c r="B7773" t="str">
        <f>"LB0472"</f>
        <v>LB0472</v>
      </c>
      <c r="C7773" t="s">
        <v>7643</v>
      </c>
    </row>
    <row r="7774" spans="1:3" x14ac:dyDescent="0.25">
      <c r="A7774" t="str">
        <f>"0611836250100"</f>
        <v>0611836250100</v>
      </c>
      <c r="B7774" t="str">
        <f>"LB0468"</f>
        <v>LB0468</v>
      </c>
      <c r="C7774" t="s">
        <v>7644</v>
      </c>
    </row>
    <row r="7775" spans="1:3" x14ac:dyDescent="0.25">
      <c r="A7775" t="str">
        <f>"0611836251100"</f>
        <v>0611836251100</v>
      </c>
      <c r="B7775" t="str">
        <f>"LK6749"</f>
        <v>LK6749</v>
      </c>
      <c r="C7775" t="s">
        <v>7645</v>
      </c>
    </row>
    <row r="7776" spans="1:3" x14ac:dyDescent="0.25">
      <c r="A7776" t="str">
        <f>"0611836252100"</f>
        <v>0611836252100</v>
      </c>
      <c r="B7776" t="str">
        <f>"LK6750"</f>
        <v>LK6750</v>
      </c>
      <c r="C7776" t="s">
        <v>7646</v>
      </c>
    </row>
    <row r="7777" spans="1:3" x14ac:dyDescent="0.25">
      <c r="A7777" t="str">
        <f>"0611836253100"</f>
        <v>0611836253100</v>
      </c>
      <c r="B7777" t="str">
        <f>"LK6751"</f>
        <v>LK6751</v>
      </c>
      <c r="C7777" t="s">
        <v>7647</v>
      </c>
    </row>
    <row r="7778" spans="1:3" x14ac:dyDescent="0.25">
      <c r="A7778" t="str">
        <f>"0611836254100"</f>
        <v>0611836254100</v>
      </c>
      <c r="B7778" t="str">
        <f>"LK6752"</f>
        <v>LK6752</v>
      </c>
      <c r="C7778" t="s">
        <v>7648</v>
      </c>
    </row>
    <row r="7779" spans="1:3" x14ac:dyDescent="0.25">
      <c r="A7779" t="str">
        <f>"0611836255100"</f>
        <v>0611836255100</v>
      </c>
      <c r="B7779" t="str">
        <f>"LK5685"</f>
        <v>LK5685</v>
      </c>
      <c r="C7779" t="s">
        <v>7649</v>
      </c>
    </row>
    <row r="7780" spans="1:3" x14ac:dyDescent="0.25">
      <c r="A7780" t="str">
        <f>"0611836257100"</f>
        <v>0611836257100</v>
      </c>
      <c r="B7780" t="str">
        <f>"LK5163"</f>
        <v>LK5163</v>
      </c>
      <c r="C7780" t="s">
        <v>7650</v>
      </c>
    </row>
    <row r="7781" spans="1:3" x14ac:dyDescent="0.25">
      <c r="A7781" t="str">
        <f>"0611836258100"</f>
        <v>0611836258100</v>
      </c>
      <c r="B7781" t="str">
        <f>"LB0542"</f>
        <v>LB0542</v>
      </c>
      <c r="C7781" t="s">
        <v>7651</v>
      </c>
    </row>
    <row r="7782" spans="1:3" x14ac:dyDescent="0.25">
      <c r="A7782" t="str">
        <f>"0611836259100"</f>
        <v>0611836259100</v>
      </c>
      <c r="B7782" t="str">
        <f>"LB0547"</f>
        <v>LB0547</v>
      </c>
      <c r="C7782" t="s">
        <v>7652</v>
      </c>
    </row>
    <row r="7783" spans="1:3" x14ac:dyDescent="0.25">
      <c r="A7783" t="str">
        <f>"0611836261100"</f>
        <v>0611836261100</v>
      </c>
      <c r="B7783" t="str">
        <f>"LB0573"</f>
        <v>LB0573</v>
      </c>
      <c r="C7783" t="s">
        <v>7653</v>
      </c>
    </row>
    <row r="7784" spans="1:3" x14ac:dyDescent="0.25">
      <c r="A7784" t="str">
        <f>"0611884300100"</f>
        <v>0611884300100</v>
      </c>
      <c r="B7784" t="str">
        <f>"LQ6284"</f>
        <v>LQ6284</v>
      </c>
      <c r="C7784" t="s">
        <v>7654</v>
      </c>
    </row>
    <row r="7785" spans="1:3" x14ac:dyDescent="0.25">
      <c r="A7785" t="str">
        <f>"0611884301100"</f>
        <v>0611884301100</v>
      </c>
      <c r="B7785" t="str">
        <f>"LQ6285"</f>
        <v>LQ6285</v>
      </c>
      <c r="C7785" t="s">
        <v>7655</v>
      </c>
    </row>
    <row r="7786" spans="1:3" x14ac:dyDescent="0.25">
      <c r="A7786" t="str">
        <f>"0611884302100"</f>
        <v>0611884302100</v>
      </c>
      <c r="B7786" t="str">
        <f>"LQ6286"</f>
        <v>LQ6286</v>
      </c>
      <c r="C7786" t="s">
        <v>7656</v>
      </c>
    </row>
    <row r="7787" spans="1:3" x14ac:dyDescent="0.25">
      <c r="A7787" t="str">
        <f>"0611836264100"</f>
        <v>0611836264100</v>
      </c>
      <c r="B7787" t="str">
        <f>"LQ6051"</f>
        <v>LQ6051</v>
      </c>
      <c r="C7787" t="s">
        <v>7657</v>
      </c>
    </row>
    <row r="7788" spans="1:3" x14ac:dyDescent="0.25">
      <c r="A7788" t="str">
        <f>"0611836265100"</f>
        <v>0611836265100</v>
      </c>
      <c r="B7788" t="str">
        <f>"LQ5818"</f>
        <v>LQ5818</v>
      </c>
      <c r="C7788" t="s">
        <v>7658</v>
      </c>
    </row>
    <row r="7789" spans="1:3" x14ac:dyDescent="0.25">
      <c r="A7789" t="str">
        <f>"0611836266100"</f>
        <v>0611836266100</v>
      </c>
      <c r="B7789" t="str">
        <f>"LQ6133"</f>
        <v>LQ6133</v>
      </c>
      <c r="C7789" t="s">
        <v>7659</v>
      </c>
    </row>
    <row r="7790" spans="1:3" x14ac:dyDescent="0.25">
      <c r="A7790" t="str">
        <f>"0611836267100"</f>
        <v>0611836267100</v>
      </c>
      <c r="B7790" t="str">
        <f>"LQ5905"</f>
        <v>LQ5905</v>
      </c>
      <c r="C7790" t="s">
        <v>7660</v>
      </c>
    </row>
    <row r="7791" spans="1:3" x14ac:dyDescent="0.25">
      <c r="A7791" t="str">
        <f>"0611836268100"</f>
        <v>0611836268100</v>
      </c>
      <c r="B7791" t="str">
        <f>"LQ5990"</f>
        <v>LQ5990</v>
      </c>
      <c r="C7791" t="s">
        <v>7661</v>
      </c>
    </row>
    <row r="7792" spans="1:3" x14ac:dyDescent="0.25">
      <c r="A7792" t="str">
        <f>"0611836269100"</f>
        <v>0611836269100</v>
      </c>
      <c r="B7792" t="str">
        <f>"LQ5803"</f>
        <v>LQ5803</v>
      </c>
      <c r="C7792" t="s">
        <v>7662</v>
      </c>
    </row>
    <row r="7793" spans="1:3" x14ac:dyDescent="0.25">
      <c r="A7793" t="str">
        <f>"0611836271100"</f>
        <v>0611836271100</v>
      </c>
      <c r="B7793" t="str">
        <f>"LQ5820"</f>
        <v>LQ5820</v>
      </c>
      <c r="C7793" t="s">
        <v>7663</v>
      </c>
    </row>
    <row r="7794" spans="1:3" x14ac:dyDescent="0.25">
      <c r="A7794" t="str">
        <f>"0611836272100"</f>
        <v>0611836272100</v>
      </c>
      <c r="B7794" t="str">
        <f>"LB0590"</f>
        <v>LB0590</v>
      </c>
      <c r="C7794" t="s">
        <v>7664</v>
      </c>
    </row>
    <row r="7795" spans="1:3" x14ac:dyDescent="0.25">
      <c r="A7795" t="str">
        <f>"0611836273100"</f>
        <v>0611836273100</v>
      </c>
      <c r="B7795" t="str">
        <f>"LK2049"</f>
        <v>LK2049</v>
      </c>
      <c r="C7795" t="s">
        <v>7665</v>
      </c>
    </row>
    <row r="7796" spans="1:3" x14ac:dyDescent="0.25">
      <c r="A7796" t="str">
        <f>"0611836275100"</f>
        <v>0611836275100</v>
      </c>
      <c r="B7796" t="str">
        <f>"LK0072"</f>
        <v>LK0072</v>
      </c>
      <c r="C7796" t="s">
        <v>7666</v>
      </c>
    </row>
    <row r="7797" spans="1:3" x14ac:dyDescent="0.25">
      <c r="A7797" t="str">
        <f>"0611836276100"</f>
        <v>0611836276100</v>
      </c>
      <c r="B7797" t="str">
        <f>"LK4620"</f>
        <v>LK4620</v>
      </c>
      <c r="C7797" t="s">
        <v>7667</v>
      </c>
    </row>
    <row r="7798" spans="1:3" x14ac:dyDescent="0.25">
      <c r="A7798" t="str">
        <f>"0611836277100"</f>
        <v>0611836277100</v>
      </c>
      <c r="B7798" t="str">
        <f>"LK4262"</f>
        <v>LK4262</v>
      </c>
      <c r="C7798" t="s">
        <v>7668</v>
      </c>
    </row>
    <row r="7799" spans="1:3" x14ac:dyDescent="0.25">
      <c r="A7799" t="str">
        <f>"0611836278100"</f>
        <v>0611836278100</v>
      </c>
      <c r="B7799" t="str">
        <f>"LK0073"</f>
        <v>LK0073</v>
      </c>
      <c r="C7799" t="s">
        <v>7669</v>
      </c>
    </row>
    <row r="7800" spans="1:3" x14ac:dyDescent="0.25">
      <c r="A7800" t="str">
        <f>"0611836279100"</f>
        <v>0611836279100</v>
      </c>
      <c r="B7800" t="str">
        <f>"LB0489"</f>
        <v>LB0489</v>
      </c>
      <c r="C7800" t="s">
        <v>7670</v>
      </c>
    </row>
    <row r="7801" spans="1:3" x14ac:dyDescent="0.25">
      <c r="A7801" t="str">
        <f>"0611836280100"</f>
        <v>0611836280100</v>
      </c>
      <c r="B7801" t="str">
        <f>"LK2738"</f>
        <v>LK2738</v>
      </c>
      <c r="C7801" t="s">
        <v>7671</v>
      </c>
    </row>
    <row r="7802" spans="1:3" x14ac:dyDescent="0.25">
      <c r="A7802" t="str">
        <f>"0611836281100"</f>
        <v>0611836281100</v>
      </c>
      <c r="B7802" t="str">
        <f>"LB0490"</f>
        <v>LB0490</v>
      </c>
      <c r="C7802" t="s">
        <v>7672</v>
      </c>
    </row>
    <row r="7803" spans="1:3" x14ac:dyDescent="0.25">
      <c r="A7803" t="str">
        <f>"0611836282100"</f>
        <v>0611836282100</v>
      </c>
      <c r="B7803" t="str">
        <f>"LB0594"</f>
        <v>LB0594</v>
      </c>
      <c r="C7803" t="s">
        <v>7673</v>
      </c>
    </row>
    <row r="7804" spans="1:3" x14ac:dyDescent="0.25">
      <c r="A7804" t="str">
        <f>"0611836283100"</f>
        <v>0611836283100</v>
      </c>
      <c r="B7804" t="str">
        <f>"LB0595"</f>
        <v>LB0595</v>
      </c>
      <c r="C7804" t="s">
        <v>7674</v>
      </c>
    </row>
    <row r="7805" spans="1:3" x14ac:dyDescent="0.25">
      <c r="A7805" t="str">
        <f>"0611836284100"</f>
        <v>0611836284100</v>
      </c>
      <c r="B7805" t="str">
        <f>"LB0597"</f>
        <v>LB0597</v>
      </c>
      <c r="C7805" t="s">
        <v>7675</v>
      </c>
    </row>
    <row r="7806" spans="1:3" x14ac:dyDescent="0.25">
      <c r="A7806" t="str">
        <f>"0611863271050"</f>
        <v>0611863271050</v>
      </c>
      <c r="B7806" t="str">
        <f>"CR2378"</f>
        <v>CR2378</v>
      </c>
      <c r="C7806" t="s">
        <v>7676</v>
      </c>
    </row>
    <row r="7807" spans="1:3" x14ac:dyDescent="0.25">
      <c r="A7807" t="str">
        <f>"0611863272050"</f>
        <v>0611863272050</v>
      </c>
      <c r="B7807" t="str">
        <f>"CR2379"</f>
        <v>CR2379</v>
      </c>
      <c r="C7807" t="s">
        <v>7677</v>
      </c>
    </row>
    <row r="7808" spans="1:3" x14ac:dyDescent="0.25">
      <c r="A7808" t="str">
        <f>"0611906583050"</f>
        <v>0611906583050</v>
      </c>
      <c r="B7808" t="str">
        <f>"CR5497"</f>
        <v>CR5497</v>
      </c>
      <c r="C7808" t="s">
        <v>7678</v>
      </c>
    </row>
    <row r="7809" spans="1:3" x14ac:dyDescent="0.25">
      <c r="A7809" t="str">
        <f>"0611863273050"</f>
        <v>0611863273050</v>
      </c>
      <c r="B7809" t="str">
        <f>"CR2380"</f>
        <v>CR2380</v>
      </c>
      <c r="C7809" t="s">
        <v>7679</v>
      </c>
    </row>
    <row r="7810" spans="1:3" x14ac:dyDescent="0.25">
      <c r="A7810" t="str">
        <f>"0611863274050"</f>
        <v>0611863274050</v>
      </c>
      <c r="B7810" t="str">
        <f>"CR3686"</f>
        <v>CR3686</v>
      </c>
      <c r="C7810" t="s">
        <v>7680</v>
      </c>
    </row>
    <row r="7811" spans="1:3" x14ac:dyDescent="0.25">
      <c r="A7811" t="str">
        <f>"0611863275050"</f>
        <v>0611863275050</v>
      </c>
      <c r="B7811" t="str">
        <f>"CR2381"</f>
        <v>CR2381</v>
      </c>
      <c r="C7811" t="s">
        <v>7681</v>
      </c>
    </row>
    <row r="7812" spans="1:3" x14ac:dyDescent="0.25">
      <c r="A7812" t="str">
        <f>"0611863276050"</f>
        <v>0611863276050</v>
      </c>
      <c r="B7812" t="str">
        <f>"CR2382"</f>
        <v>CR2382</v>
      </c>
      <c r="C7812" t="s">
        <v>7682</v>
      </c>
    </row>
    <row r="7813" spans="1:3" x14ac:dyDescent="0.25">
      <c r="A7813" t="str">
        <f>"0611863277050"</f>
        <v>0611863277050</v>
      </c>
      <c r="B7813" t="str">
        <f>"CR2383"</f>
        <v>CR2383</v>
      </c>
      <c r="C7813" t="s">
        <v>7683</v>
      </c>
    </row>
    <row r="7814" spans="1:3" x14ac:dyDescent="0.25">
      <c r="A7814" t="str">
        <f>"0611836285100"</f>
        <v>0611836285100</v>
      </c>
      <c r="B7814" t="str">
        <f>"LH5381"</f>
        <v>LH5381</v>
      </c>
      <c r="C7814" t="s">
        <v>7684</v>
      </c>
    </row>
    <row r="7815" spans="1:3" x14ac:dyDescent="0.25">
      <c r="A7815" t="str">
        <f>"0611863278050"</f>
        <v>0611863278050</v>
      </c>
      <c r="B7815" t="str">
        <f>"CR2978"</f>
        <v>CR2978</v>
      </c>
      <c r="C7815" t="s">
        <v>7685</v>
      </c>
    </row>
    <row r="7816" spans="1:3" x14ac:dyDescent="0.25">
      <c r="A7816" t="str">
        <f>"0611836287100"</f>
        <v>0611836287100</v>
      </c>
      <c r="B7816" t="str">
        <f>"LK6083"</f>
        <v>LK6083</v>
      </c>
      <c r="C7816" t="s">
        <v>7686</v>
      </c>
    </row>
    <row r="7817" spans="1:3" x14ac:dyDescent="0.25">
      <c r="A7817" t="str">
        <f>"0611836286100"</f>
        <v>0611836286100</v>
      </c>
      <c r="B7817" t="str">
        <f>"LK1275"</f>
        <v>LK1275</v>
      </c>
      <c r="C7817" t="s">
        <v>7687</v>
      </c>
    </row>
    <row r="7818" spans="1:3" x14ac:dyDescent="0.25">
      <c r="A7818" t="str">
        <f>"0611836093100"</f>
        <v>0611836093100</v>
      </c>
      <c r="B7818" t="str">
        <f>"LC7400"</f>
        <v>LC7400</v>
      </c>
      <c r="C7818" t="s">
        <v>7688</v>
      </c>
    </row>
    <row r="7819" spans="1:3" x14ac:dyDescent="0.25">
      <c r="A7819" t="str">
        <f>"0611836289100"</f>
        <v>0611836289100</v>
      </c>
      <c r="B7819" t="str">
        <f>"LH5416"</f>
        <v>LH5416</v>
      </c>
      <c r="C7819" t="s">
        <v>7689</v>
      </c>
    </row>
    <row r="7820" spans="1:3" x14ac:dyDescent="0.25">
      <c r="A7820" t="str">
        <f>"0611836290025"</f>
        <v>0611836290025</v>
      </c>
      <c r="B7820" t="str">
        <f>"MC0890"</f>
        <v>MC0890</v>
      </c>
      <c r="C7820" t="s">
        <v>7690</v>
      </c>
    </row>
    <row r="7821" spans="1:3" x14ac:dyDescent="0.25">
      <c r="A7821" t="str">
        <f>"0611836291025"</f>
        <v>0611836291025</v>
      </c>
      <c r="B7821" t="str">
        <f>"MC4101"</f>
        <v>MC4101</v>
      </c>
      <c r="C7821" t="s">
        <v>7691</v>
      </c>
    </row>
    <row r="7822" spans="1:3" x14ac:dyDescent="0.25">
      <c r="A7822" t="str">
        <f>"0611836292025"</f>
        <v>0611836292025</v>
      </c>
      <c r="B7822" t="str">
        <f>"MC4102"</f>
        <v>MC4102</v>
      </c>
      <c r="C7822" t="s">
        <v>7692</v>
      </c>
    </row>
    <row r="7823" spans="1:3" x14ac:dyDescent="0.25">
      <c r="A7823" t="str">
        <f>"0611836293025"</f>
        <v>0611836293025</v>
      </c>
      <c r="B7823" t="str">
        <f>"MC4103"</f>
        <v>MC4103</v>
      </c>
      <c r="C7823" t="s">
        <v>7693</v>
      </c>
    </row>
    <row r="7824" spans="1:3" x14ac:dyDescent="0.25">
      <c r="A7824" t="str">
        <f>"0611836294025"</f>
        <v>0611836294025</v>
      </c>
      <c r="B7824" t="str">
        <f>"MC4104"</f>
        <v>MC4104</v>
      </c>
      <c r="C7824" t="s">
        <v>7694</v>
      </c>
    </row>
    <row r="7825" spans="1:3" x14ac:dyDescent="0.25">
      <c r="A7825" t="str">
        <f>"0611836295025"</f>
        <v>0611836295025</v>
      </c>
      <c r="B7825" t="str">
        <f>"MC4105"</f>
        <v>MC4105</v>
      </c>
      <c r="C7825" t="s">
        <v>7695</v>
      </c>
    </row>
    <row r="7826" spans="1:3" x14ac:dyDescent="0.25">
      <c r="A7826" t="str">
        <f>"0611836296025"</f>
        <v>0611836296025</v>
      </c>
      <c r="B7826" t="str">
        <f>"MC4106"</f>
        <v>MC4106</v>
      </c>
      <c r="C7826" t="s">
        <v>7696</v>
      </c>
    </row>
    <row r="7827" spans="1:3" x14ac:dyDescent="0.25">
      <c r="A7827" t="str">
        <f>"0611836297025"</f>
        <v>0611836297025</v>
      </c>
      <c r="B7827" t="str">
        <f>"MC4107"</f>
        <v>MC4107</v>
      </c>
      <c r="C7827" t="s">
        <v>7697</v>
      </c>
    </row>
    <row r="7828" spans="1:3" x14ac:dyDescent="0.25">
      <c r="A7828" t="str">
        <f>"0611836298025"</f>
        <v>0611836298025</v>
      </c>
      <c r="B7828" t="str">
        <f>"MC4108"</f>
        <v>MC4108</v>
      </c>
      <c r="C7828" t="s">
        <v>7698</v>
      </c>
    </row>
    <row r="7829" spans="1:3" x14ac:dyDescent="0.25">
      <c r="A7829" t="str">
        <f>"0611836299100"</f>
        <v>0611836299100</v>
      </c>
      <c r="B7829" t="str">
        <f>"LH5417"</f>
        <v>LH5417</v>
      </c>
      <c r="C7829" t="s">
        <v>7699</v>
      </c>
    </row>
    <row r="7830" spans="1:3" x14ac:dyDescent="0.25">
      <c r="A7830" t="str">
        <f>"0611836300025"</f>
        <v>0611836300025</v>
      </c>
      <c r="B7830" t="str">
        <f>"MC1286"</f>
        <v>MC1286</v>
      </c>
      <c r="C7830" t="s">
        <v>7700</v>
      </c>
    </row>
    <row r="7831" spans="1:3" x14ac:dyDescent="0.25">
      <c r="A7831" t="str">
        <f>"0611836301100"</f>
        <v>0611836301100</v>
      </c>
      <c r="B7831" t="str">
        <f>"LH5418"</f>
        <v>LH5418</v>
      </c>
      <c r="C7831" t="s">
        <v>7701</v>
      </c>
    </row>
    <row r="7832" spans="1:3" x14ac:dyDescent="0.25">
      <c r="A7832" t="str">
        <f>"0611836302025"</f>
        <v>0611836302025</v>
      </c>
      <c r="B7832" t="str">
        <f>"MC0891"</f>
        <v>MC0891</v>
      </c>
      <c r="C7832" t="s">
        <v>7702</v>
      </c>
    </row>
    <row r="7833" spans="1:3" x14ac:dyDescent="0.25">
      <c r="A7833" t="str">
        <f>"0611836303100"</f>
        <v>0611836303100</v>
      </c>
      <c r="B7833" t="str">
        <f>"LH5419"</f>
        <v>LH5419</v>
      </c>
      <c r="C7833" t="s">
        <v>7703</v>
      </c>
    </row>
    <row r="7834" spans="1:3" x14ac:dyDescent="0.25">
      <c r="A7834" t="str">
        <f>"0611836304025"</f>
        <v>0611836304025</v>
      </c>
      <c r="B7834" t="str">
        <f>"MC0892"</f>
        <v>MC0892</v>
      </c>
      <c r="C7834" t="s">
        <v>7704</v>
      </c>
    </row>
    <row r="7835" spans="1:3" x14ac:dyDescent="0.25">
      <c r="A7835" t="str">
        <f>"0611836305100"</f>
        <v>0611836305100</v>
      </c>
      <c r="B7835" t="str">
        <f>"LH5420"</f>
        <v>LH5420</v>
      </c>
      <c r="C7835" t="s">
        <v>7705</v>
      </c>
    </row>
    <row r="7836" spans="1:3" x14ac:dyDescent="0.25">
      <c r="A7836" t="str">
        <f>"0611836306025"</f>
        <v>0611836306025</v>
      </c>
      <c r="B7836" t="str">
        <f>"MC1287"</f>
        <v>MC1287</v>
      </c>
      <c r="C7836" t="s">
        <v>7706</v>
      </c>
    </row>
    <row r="7837" spans="1:3" x14ac:dyDescent="0.25">
      <c r="A7837" t="str">
        <f>"0611836307100"</f>
        <v>0611836307100</v>
      </c>
      <c r="B7837" t="str">
        <f>"LH5421"</f>
        <v>LH5421</v>
      </c>
      <c r="C7837" t="s">
        <v>7707</v>
      </c>
    </row>
    <row r="7838" spans="1:3" x14ac:dyDescent="0.25">
      <c r="A7838" t="str">
        <f>"0611836308025"</f>
        <v>0611836308025</v>
      </c>
      <c r="B7838" t="str">
        <f>"MC0893"</f>
        <v>MC0893</v>
      </c>
      <c r="C7838" t="s">
        <v>7708</v>
      </c>
    </row>
    <row r="7839" spans="1:3" x14ac:dyDescent="0.25">
      <c r="A7839" t="str">
        <f>"0611836309025"</f>
        <v>0611836309025</v>
      </c>
      <c r="B7839" t="str">
        <f>"MC4298"</f>
        <v>MC4298</v>
      </c>
      <c r="C7839" t="s">
        <v>7709</v>
      </c>
    </row>
    <row r="7840" spans="1:3" x14ac:dyDescent="0.25">
      <c r="A7840" t="str">
        <f>"0611836310025"</f>
        <v>0611836310025</v>
      </c>
      <c r="B7840" t="str">
        <f>"MC4299"</f>
        <v>MC4299</v>
      </c>
      <c r="C7840" t="s">
        <v>7710</v>
      </c>
    </row>
    <row r="7841" spans="1:3" x14ac:dyDescent="0.25">
      <c r="A7841" t="str">
        <f>"0611836311025"</f>
        <v>0611836311025</v>
      </c>
      <c r="B7841" t="str">
        <f>"MC4300"</f>
        <v>MC4300</v>
      </c>
      <c r="C7841" t="s">
        <v>7711</v>
      </c>
    </row>
    <row r="7842" spans="1:3" x14ac:dyDescent="0.25">
      <c r="A7842" t="str">
        <f>"0611836312025"</f>
        <v>0611836312025</v>
      </c>
      <c r="B7842" t="str">
        <f>"MC4301"</f>
        <v>MC4301</v>
      </c>
      <c r="C7842" t="s">
        <v>7712</v>
      </c>
    </row>
    <row r="7843" spans="1:3" x14ac:dyDescent="0.25">
      <c r="A7843" t="str">
        <f>"0611836313025"</f>
        <v>0611836313025</v>
      </c>
      <c r="B7843" t="str">
        <f>"MC4302"</f>
        <v>MC4302</v>
      </c>
      <c r="C7843" t="s">
        <v>7713</v>
      </c>
    </row>
    <row r="7844" spans="1:3" x14ac:dyDescent="0.25">
      <c r="A7844" t="str">
        <f>"0611836314025"</f>
        <v>0611836314025</v>
      </c>
      <c r="B7844" t="str">
        <f>"MC4303"</f>
        <v>MC4303</v>
      </c>
      <c r="C7844" t="s">
        <v>7714</v>
      </c>
    </row>
    <row r="7845" spans="1:3" x14ac:dyDescent="0.25">
      <c r="A7845" t="str">
        <f>"0611836315100"</f>
        <v>0611836315100</v>
      </c>
      <c r="B7845" t="str">
        <f>"LH5477"</f>
        <v>LH5477</v>
      </c>
      <c r="C7845" t="s">
        <v>7715</v>
      </c>
    </row>
    <row r="7846" spans="1:3" x14ac:dyDescent="0.25">
      <c r="A7846" t="str">
        <f>"0611836317025"</f>
        <v>0611836317025</v>
      </c>
      <c r="B7846" t="str">
        <f>"MC1471"</f>
        <v>MC1471</v>
      </c>
      <c r="C7846" t="s">
        <v>7716</v>
      </c>
    </row>
    <row r="7847" spans="1:3" x14ac:dyDescent="0.25">
      <c r="A7847" t="str">
        <f>"0611836318025"</f>
        <v>0611836318025</v>
      </c>
      <c r="B7847" t="str">
        <f>"MC0506"</f>
        <v>MC0506</v>
      </c>
      <c r="C7847" t="s">
        <v>7717</v>
      </c>
    </row>
    <row r="7848" spans="1:3" x14ac:dyDescent="0.25">
      <c r="A7848" t="str">
        <f>"0611836325100"</f>
        <v>0611836325100</v>
      </c>
      <c r="B7848" t="str">
        <f>"LH5445"</f>
        <v>LH5445</v>
      </c>
      <c r="C7848" t="s">
        <v>7718</v>
      </c>
    </row>
    <row r="7849" spans="1:3" x14ac:dyDescent="0.25">
      <c r="A7849" t="str">
        <f>"0611836326025"</f>
        <v>0611836326025</v>
      </c>
      <c r="B7849" t="str">
        <f>"MC0510"</f>
        <v>MC0510</v>
      </c>
      <c r="C7849" t="s">
        <v>7719</v>
      </c>
    </row>
    <row r="7850" spans="1:3" x14ac:dyDescent="0.25">
      <c r="A7850" t="str">
        <f>"0611836327025"</f>
        <v>0611836327025</v>
      </c>
      <c r="B7850" t="str">
        <f>"MC0513"</f>
        <v>MC0513</v>
      </c>
      <c r="C7850" t="s">
        <v>7720</v>
      </c>
    </row>
    <row r="7851" spans="1:3" x14ac:dyDescent="0.25">
      <c r="A7851" t="str">
        <f>"0611836328025"</f>
        <v>0611836328025</v>
      </c>
      <c r="B7851" t="str">
        <f>"MQ0599"</f>
        <v>MQ0599</v>
      </c>
      <c r="C7851" t="s">
        <v>7721</v>
      </c>
    </row>
    <row r="7852" spans="1:3" x14ac:dyDescent="0.25">
      <c r="A7852" t="str">
        <f>"0611836329025"</f>
        <v>0611836329025</v>
      </c>
      <c r="B7852" t="str">
        <f>"MQ0626"</f>
        <v>MQ0626</v>
      </c>
      <c r="C7852" t="s">
        <v>7722</v>
      </c>
    </row>
    <row r="7853" spans="1:3" x14ac:dyDescent="0.25">
      <c r="A7853" t="str">
        <f>"0611857028025"</f>
        <v>0611857028025</v>
      </c>
      <c r="B7853" t="str">
        <f>"MQ0794"</f>
        <v>MQ0794</v>
      </c>
      <c r="C7853" t="s">
        <v>7723</v>
      </c>
    </row>
    <row r="7854" spans="1:3" x14ac:dyDescent="0.25">
      <c r="A7854" t="str">
        <f>"0611836330025"</f>
        <v>0611836330025</v>
      </c>
      <c r="B7854" t="str">
        <f>"MQ0600"</f>
        <v>MQ0600</v>
      </c>
      <c r="C7854" t="s">
        <v>7724</v>
      </c>
    </row>
    <row r="7855" spans="1:3" x14ac:dyDescent="0.25">
      <c r="A7855" t="str">
        <f>"0611857029025"</f>
        <v>0611857029025</v>
      </c>
      <c r="B7855" t="str">
        <f>"MQ0795"</f>
        <v>MQ0795</v>
      </c>
      <c r="C7855" t="s">
        <v>7725</v>
      </c>
    </row>
    <row r="7856" spans="1:3" x14ac:dyDescent="0.25">
      <c r="A7856" t="str">
        <f>"0611857030025"</f>
        <v>0611857030025</v>
      </c>
      <c r="B7856" t="str">
        <f>"MQ0796"</f>
        <v>MQ0796</v>
      </c>
      <c r="C7856" t="s">
        <v>7726</v>
      </c>
    </row>
    <row r="7857" spans="1:3" x14ac:dyDescent="0.25">
      <c r="A7857" t="str">
        <f>"0611836331025"</f>
        <v>0611836331025</v>
      </c>
      <c r="B7857" t="str">
        <f>"MQ0601"</f>
        <v>MQ0601</v>
      </c>
      <c r="C7857" t="s">
        <v>7727</v>
      </c>
    </row>
    <row r="7858" spans="1:3" x14ac:dyDescent="0.25">
      <c r="A7858" t="str">
        <f>"0611836332025"</f>
        <v>0611836332025</v>
      </c>
      <c r="B7858" t="str">
        <f>"MQ6055"</f>
        <v>MQ6055</v>
      </c>
      <c r="C7858" t="s">
        <v>7728</v>
      </c>
    </row>
    <row r="7859" spans="1:3" x14ac:dyDescent="0.25">
      <c r="A7859" t="str">
        <f>"0611836333025"</f>
        <v>0611836333025</v>
      </c>
      <c r="B7859" t="str">
        <f>"MQ0602"</f>
        <v>MQ0602</v>
      </c>
      <c r="C7859" t="s">
        <v>7729</v>
      </c>
    </row>
    <row r="7860" spans="1:3" x14ac:dyDescent="0.25">
      <c r="A7860" t="str">
        <f>"0611836334025"</f>
        <v>0611836334025</v>
      </c>
      <c r="B7860" t="str">
        <f>"MQ0603"</f>
        <v>MQ0603</v>
      </c>
      <c r="C7860" t="s">
        <v>7730</v>
      </c>
    </row>
    <row r="7861" spans="1:3" x14ac:dyDescent="0.25">
      <c r="A7861" t="str">
        <f>"0611836335100"</f>
        <v>0611836335100</v>
      </c>
      <c r="B7861" t="str">
        <f>"LH5450"</f>
        <v>LH5450</v>
      </c>
      <c r="C7861" t="s">
        <v>7731</v>
      </c>
    </row>
    <row r="7862" spans="1:3" x14ac:dyDescent="0.25">
      <c r="A7862" t="str">
        <f>"0611836336025"</f>
        <v>0611836336025</v>
      </c>
      <c r="B7862" t="str">
        <f>"MC0514"</f>
        <v>MC0514</v>
      </c>
      <c r="C7862" t="s">
        <v>7732</v>
      </c>
    </row>
    <row r="7863" spans="1:3" x14ac:dyDescent="0.25">
      <c r="A7863" t="str">
        <f>"0611836337025"</f>
        <v>0611836337025</v>
      </c>
      <c r="B7863" t="str">
        <f>"MC0515"</f>
        <v>MC0515</v>
      </c>
      <c r="C7863" t="s">
        <v>7733</v>
      </c>
    </row>
    <row r="7864" spans="1:3" x14ac:dyDescent="0.25">
      <c r="A7864" t="str">
        <f>"0611906839025"</f>
        <v>0611906839025</v>
      </c>
      <c r="B7864" t="str">
        <f>"MQ7256"</f>
        <v>MQ7256</v>
      </c>
      <c r="C7864" t="s">
        <v>7734</v>
      </c>
    </row>
    <row r="7865" spans="1:3" x14ac:dyDescent="0.25">
      <c r="A7865" t="str">
        <f>"0611906840025"</f>
        <v>0611906840025</v>
      </c>
      <c r="B7865" t="str">
        <f>"MQ7257"</f>
        <v>MQ7257</v>
      </c>
      <c r="C7865" t="s">
        <v>7735</v>
      </c>
    </row>
    <row r="7866" spans="1:3" x14ac:dyDescent="0.25">
      <c r="A7866" t="str">
        <f>"0611906841025"</f>
        <v>0611906841025</v>
      </c>
      <c r="B7866" t="str">
        <f>"MQ7231"</f>
        <v>MQ7231</v>
      </c>
      <c r="C7866" t="s">
        <v>7736</v>
      </c>
    </row>
    <row r="7867" spans="1:3" x14ac:dyDescent="0.25">
      <c r="A7867" t="str">
        <f>"0611906842025"</f>
        <v>0611906842025</v>
      </c>
      <c r="B7867" t="str">
        <f>"MQ7232"</f>
        <v>MQ7232</v>
      </c>
      <c r="C7867" t="s">
        <v>7737</v>
      </c>
    </row>
    <row r="7868" spans="1:3" x14ac:dyDescent="0.25">
      <c r="A7868" t="str">
        <f>"0611906843025"</f>
        <v>0611906843025</v>
      </c>
      <c r="B7868" t="str">
        <f>"MQ7258"</f>
        <v>MQ7258</v>
      </c>
      <c r="C7868" t="s">
        <v>7738</v>
      </c>
    </row>
    <row r="7869" spans="1:3" x14ac:dyDescent="0.25">
      <c r="A7869" t="str">
        <f>"0611906844025"</f>
        <v>0611906844025</v>
      </c>
      <c r="B7869" t="str">
        <f>"MQ7510"</f>
        <v>MQ7510</v>
      </c>
      <c r="C7869" t="s">
        <v>7739</v>
      </c>
    </row>
    <row r="7870" spans="1:3" x14ac:dyDescent="0.25">
      <c r="A7870" t="str">
        <f>"0611906845025"</f>
        <v>0611906845025</v>
      </c>
      <c r="B7870" t="str">
        <f>"MQ7233"</f>
        <v>MQ7233</v>
      </c>
      <c r="C7870" t="s">
        <v>7740</v>
      </c>
    </row>
    <row r="7871" spans="1:3" x14ac:dyDescent="0.25">
      <c r="A7871" t="str">
        <f>"0611906846025"</f>
        <v>0611906846025</v>
      </c>
      <c r="B7871" t="str">
        <f>"MQ7511"</f>
        <v>MQ7511</v>
      </c>
      <c r="C7871" t="s">
        <v>7741</v>
      </c>
    </row>
    <row r="7872" spans="1:3" x14ac:dyDescent="0.25">
      <c r="A7872" t="str">
        <f>"0611836338025"</f>
        <v>0611836338025</v>
      </c>
      <c r="B7872" t="str">
        <f>"MC2669"</f>
        <v>MC2669</v>
      </c>
      <c r="C7872" t="s">
        <v>7742</v>
      </c>
    </row>
    <row r="7873" spans="1:3" x14ac:dyDescent="0.25">
      <c r="A7873" t="str">
        <f>"0611836339025"</f>
        <v>0611836339025</v>
      </c>
      <c r="B7873" t="str">
        <f>"MC0519"</f>
        <v>MC0519</v>
      </c>
      <c r="C7873" t="s">
        <v>7743</v>
      </c>
    </row>
    <row r="7874" spans="1:3" x14ac:dyDescent="0.25">
      <c r="A7874" t="str">
        <f>"0611836340100"</f>
        <v>0611836340100</v>
      </c>
      <c r="B7874" t="str">
        <f>"LH5487"</f>
        <v>LH5487</v>
      </c>
      <c r="C7874" t="s">
        <v>7744</v>
      </c>
    </row>
    <row r="7875" spans="1:3" x14ac:dyDescent="0.25">
      <c r="A7875" t="str">
        <f>"0611836341025"</f>
        <v>0611836341025</v>
      </c>
      <c r="B7875" t="str">
        <f>"MC0517"</f>
        <v>MC0517</v>
      </c>
      <c r="C7875" t="s">
        <v>7745</v>
      </c>
    </row>
    <row r="7876" spans="1:3" x14ac:dyDescent="0.25">
      <c r="A7876" t="str">
        <f>"0611836342025"</f>
        <v>0611836342025</v>
      </c>
      <c r="B7876" t="str">
        <f>"MC1289"</f>
        <v>MC1289</v>
      </c>
      <c r="C7876" t="s">
        <v>7746</v>
      </c>
    </row>
    <row r="7877" spans="1:3" x14ac:dyDescent="0.25">
      <c r="A7877" t="str">
        <f>"0611836343025"</f>
        <v>0611836343025</v>
      </c>
      <c r="B7877" t="str">
        <f>"MC3895"</f>
        <v>MC3895</v>
      </c>
      <c r="C7877" t="s">
        <v>7747</v>
      </c>
    </row>
    <row r="7878" spans="1:3" x14ac:dyDescent="0.25">
      <c r="A7878" t="str">
        <f>"0611906847025"</f>
        <v>0611906847025</v>
      </c>
      <c r="B7878" t="str">
        <f>"MQ7259"</f>
        <v>MQ7259</v>
      </c>
      <c r="C7878" t="s">
        <v>7748</v>
      </c>
    </row>
    <row r="7879" spans="1:3" x14ac:dyDescent="0.25">
      <c r="A7879" t="str">
        <f>"0611906848025"</f>
        <v>0611906848025</v>
      </c>
      <c r="B7879" t="str">
        <f>"MQ7215"</f>
        <v>MQ7215</v>
      </c>
      <c r="C7879" t="s">
        <v>7749</v>
      </c>
    </row>
    <row r="7880" spans="1:3" x14ac:dyDescent="0.25">
      <c r="A7880" t="str">
        <f>"0611836344025"</f>
        <v>0611836344025</v>
      </c>
      <c r="B7880" t="str">
        <f>"MC3768"</f>
        <v>MC3768</v>
      </c>
      <c r="C7880" t="s">
        <v>7750</v>
      </c>
    </row>
    <row r="7881" spans="1:3" x14ac:dyDescent="0.25">
      <c r="A7881" t="str">
        <f>"0611836345100"</f>
        <v>0611836345100</v>
      </c>
      <c r="B7881" t="str">
        <f>"LH8845"</f>
        <v>LH8845</v>
      </c>
      <c r="C7881" t="s">
        <v>7751</v>
      </c>
    </row>
    <row r="7882" spans="1:3" x14ac:dyDescent="0.25">
      <c r="A7882" t="str">
        <f>"0611836681025"</f>
        <v>0611836681025</v>
      </c>
      <c r="B7882" t="str">
        <f>"MC1290"</f>
        <v>MC1290</v>
      </c>
      <c r="C7882" t="s">
        <v>7754</v>
      </c>
    </row>
    <row r="7883" spans="1:3" x14ac:dyDescent="0.25">
      <c r="A7883" t="str">
        <f>"0611836682100"</f>
        <v>0611836682100</v>
      </c>
      <c r="B7883" t="str">
        <f>"LQ3150"</f>
        <v>LQ3150</v>
      </c>
      <c r="C7883" t="s">
        <v>7755</v>
      </c>
    </row>
    <row r="7884" spans="1:3" x14ac:dyDescent="0.25">
      <c r="A7884" t="str">
        <f>"0611836683025"</f>
        <v>0611836683025</v>
      </c>
      <c r="B7884" t="str">
        <f>"MC0523"</f>
        <v>MC0523</v>
      </c>
      <c r="C7884" t="s">
        <v>7756</v>
      </c>
    </row>
    <row r="7885" spans="1:3" x14ac:dyDescent="0.25">
      <c r="A7885" t="str">
        <f>"0611836684100"</f>
        <v>0611836684100</v>
      </c>
      <c r="B7885" t="str">
        <f>"LF4592"</f>
        <v>LF4592</v>
      </c>
      <c r="C7885" t="s">
        <v>7757</v>
      </c>
    </row>
    <row r="7886" spans="1:3" x14ac:dyDescent="0.25">
      <c r="A7886" t="str">
        <f>"0611836685025"</f>
        <v>0611836685025</v>
      </c>
      <c r="B7886" t="str">
        <f>"MC0522"</f>
        <v>MC0522</v>
      </c>
      <c r="C7886" t="s">
        <v>7758</v>
      </c>
    </row>
    <row r="7887" spans="1:3" x14ac:dyDescent="0.25">
      <c r="A7887" t="str">
        <f>"0611836686025"</f>
        <v>0611836686025</v>
      </c>
      <c r="B7887" t="str">
        <f>"MQ0720"</f>
        <v>MQ0720</v>
      </c>
      <c r="C7887" t="s">
        <v>7759</v>
      </c>
    </row>
    <row r="7888" spans="1:3" x14ac:dyDescent="0.25">
      <c r="A7888" t="str">
        <f>"0611836687025"</f>
        <v>0611836687025</v>
      </c>
      <c r="B7888" t="str">
        <f>"MC1472"</f>
        <v>MC1472</v>
      </c>
      <c r="C7888" t="s">
        <v>7761</v>
      </c>
    </row>
    <row r="7889" spans="1:3" x14ac:dyDescent="0.25">
      <c r="A7889" t="str">
        <f>"0611836688100"</f>
        <v>0611836688100</v>
      </c>
      <c r="B7889" t="str">
        <f>"LK2600"</f>
        <v>LK2600</v>
      </c>
      <c r="C7889" t="s">
        <v>7762</v>
      </c>
    </row>
    <row r="7890" spans="1:3" x14ac:dyDescent="0.25">
      <c r="A7890" t="str">
        <f>"0611863279100"</f>
        <v>0611863279100</v>
      </c>
      <c r="B7890" t="str">
        <f>"CN5256"</f>
        <v>CN5256</v>
      </c>
      <c r="C7890" t="s">
        <v>7763</v>
      </c>
    </row>
    <row r="7891" spans="1:3" x14ac:dyDescent="0.25">
      <c r="A7891" t="str">
        <f>"0611836690025"</f>
        <v>0611836690025</v>
      </c>
      <c r="B7891" t="str">
        <f>"MC2617"</f>
        <v>MC2617</v>
      </c>
      <c r="C7891" t="s">
        <v>7764</v>
      </c>
    </row>
    <row r="7892" spans="1:3" x14ac:dyDescent="0.25">
      <c r="A7892" t="str">
        <f>"0611863280050"</f>
        <v>0611863280050</v>
      </c>
      <c r="B7892" t="str">
        <f>"CR2385"</f>
        <v>CR2385</v>
      </c>
      <c r="C7892" t="s">
        <v>7765</v>
      </c>
    </row>
    <row r="7893" spans="1:3" x14ac:dyDescent="0.25">
      <c r="A7893" t="str">
        <f>"0611836689100"</f>
        <v>0611836689100</v>
      </c>
      <c r="B7893" t="str">
        <f>"LH8919"</f>
        <v>LH8919</v>
      </c>
      <c r="C7893" t="s">
        <v>13906</v>
      </c>
    </row>
    <row r="7894" spans="1:3" x14ac:dyDescent="0.25">
      <c r="A7894" t="str">
        <f>"0611836691100"</f>
        <v>0611836691100</v>
      </c>
      <c r="B7894" t="str">
        <f>"LH0002"</f>
        <v>LH0002</v>
      </c>
      <c r="C7894" t="s">
        <v>7766</v>
      </c>
    </row>
    <row r="7895" spans="1:3" x14ac:dyDescent="0.25">
      <c r="A7895" t="str">
        <f>"0611836692025"</f>
        <v>0611836692025</v>
      </c>
      <c r="B7895" t="str">
        <f>"MC1569"</f>
        <v>MC1569</v>
      </c>
      <c r="C7895" t="s">
        <v>7767</v>
      </c>
    </row>
    <row r="7896" spans="1:3" x14ac:dyDescent="0.25">
      <c r="A7896" t="str">
        <f>"0611863281050"</f>
        <v>0611863281050</v>
      </c>
      <c r="B7896" t="str">
        <f>"CR2385"</f>
        <v>CR2385</v>
      </c>
      <c r="C7896" t="s">
        <v>7768</v>
      </c>
    </row>
    <row r="7897" spans="1:3" x14ac:dyDescent="0.25">
      <c r="A7897" t="str">
        <f>"0611863282100"</f>
        <v>0611863282100</v>
      </c>
      <c r="B7897" t="str">
        <f>"CN5255"</f>
        <v>CN5255</v>
      </c>
      <c r="C7897" t="s">
        <v>7769</v>
      </c>
    </row>
    <row r="7898" spans="1:3" x14ac:dyDescent="0.25">
      <c r="A7898" t="str">
        <f>"0611836694100"</f>
        <v>0611836694100</v>
      </c>
      <c r="B7898" t="str">
        <f>"LS0075"</f>
        <v>LS0075</v>
      </c>
      <c r="C7898" t="s">
        <v>7760</v>
      </c>
    </row>
    <row r="7899" spans="1:3" x14ac:dyDescent="0.25">
      <c r="A7899" t="str">
        <f>"0611836695100"</f>
        <v>0611836695100</v>
      </c>
      <c r="B7899" t="str">
        <f>"LQ3244"</f>
        <v>LQ3244</v>
      </c>
      <c r="C7899" t="s">
        <v>7770</v>
      </c>
    </row>
    <row r="7900" spans="1:3" x14ac:dyDescent="0.25">
      <c r="A7900" t="str">
        <f>"0611863283050"</f>
        <v>0611863283050</v>
      </c>
      <c r="B7900" t="str">
        <f>"CR2979"</f>
        <v>CR2979</v>
      </c>
      <c r="C7900" t="s">
        <v>7771</v>
      </c>
    </row>
    <row r="7901" spans="1:3" x14ac:dyDescent="0.25">
      <c r="A7901" t="str">
        <f>"0611836696025"</f>
        <v>0611836696025</v>
      </c>
      <c r="B7901" t="str">
        <f>"MQ0721"</f>
        <v>MQ0721</v>
      </c>
      <c r="C7901" t="s">
        <v>7772</v>
      </c>
    </row>
    <row r="7902" spans="1:3" x14ac:dyDescent="0.25">
      <c r="A7902" t="str">
        <f>"0611836697100"</f>
        <v>0611836697100</v>
      </c>
      <c r="B7902" t="str">
        <f>"LQ0144"</f>
        <v>LQ0144</v>
      </c>
      <c r="C7902" t="s">
        <v>7773</v>
      </c>
    </row>
    <row r="7903" spans="1:3" x14ac:dyDescent="0.25">
      <c r="A7903" t="str">
        <f>"0611884305100"</f>
        <v>0611884305100</v>
      </c>
      <c r="B7903" t="str">
        <f>"LQ3919"</f>
        <v>LQ3919</v>
      </c>
      <c r="C7903" t="s">
        <v>7774</v>
      </c>
    </row>
    <row r="7904" spans="1:3" x14ac:dyDescent="0.25">
      <c r="A7904" t="str">
        <f>"0611863284050"</f>
        <v>0611863284050</v>
      </c>
      <c r="B7904" t="str">
        <f>"CR4143"</f>
        <v>CR4143</v>
      </c>
      <c r="C7904" t="s">
        <v>7775</v>
      </c>
    </row>
    <row r="7905" spans="1:3" x14ac:dyDescent="0.25">
      <c r="A7905" t="str">
        <f>"0611836698100"</f>
        <v>0611836698100</v>
      </c>
      <c r="B7905" t="str">
        <f>"LK6213"</f>
        <v>LK6213</v>
      </c>
      <c r="C7905" t="s">
        <v>7776</v>
      </c>
    </row>
    <row r="7906" spans="1:3" x14ac:dyDescent="0.25">
      <c r="A7906" t="str">
        <f>"0611863285050"</f>
        <v>0611863285050</v>
      </c>
      <c r="B7906" t="str">
        <f>"CR2384"</f>
        <v>CR2384</v>
      </c>
      <c r="C7906" t="s">
        <v>7777</v>
      </c>
    </row>
    <row r="7907" spans="1:3" x14ac:dyDescent="0.25">
      <c r="A7907" t="str">
        <f>"0611836699025"</f>
        <v>0611836699025</v>
      </c>
      <c r="B7907" t="str">
        <f>"MC3128"</f>
        <v>MC3128</v>
      </c>
      <c r="C7907" t="s">
        <v>7778</v>
      </c>
    </row>
    <row r="7908" spans="1:3" x14ac:dyDescent="0.25">
      <c r="A7908" t="str">
        <f>"0611836700025"</f>
        <v>0611836700025</v>
      </c>
      <c r="B7908" t="str">
        <f>"MC0526"</f>
        <v>MC0526</v>
      </c>
      <c r="C7908" t="s">
        <v>7779</v>
      </c>
    </row>
    <row r="7909" spans="1:3" x14ac:dyDescent="0.25">
      <c r="A7909" t="str">
        <f>"0611836701025"</f>
        <v>0611836701025</v>
      </c>
      <c r="B7909" t="str">
        <f>"MC0528"</f>
        <v>MC0528</v>
      </c>
      <c r="C7909" t="s">
        <v>7782</v>
      </c>
    </row>
    <row r="7910" spans="1:3" x14ac:dyDescent="0.25">
      <c r="A7910" t="str">
        <f>"0611836702025"</f>
        <v>0611836702025</v>
      </c>
      <c r="B7910" t="str">
        <f>"MC1293"</f>
        <v>MC1293</v>
      </c>
      <c r="C7910" t="s">
        <v>7783</v>
      </c>
    </row>
    <row r="7911" spans="1:3" x14ac:dyDescent="0.25">
      <c r="A7911" t="str">
        <f>"0611836703025"</f>
        <v>0611836703025</v>
      </c>
      <c r="B7911" t="str">
        <f>"MC0529"</f>
        <v>MC0529</v>
      </c>
      <c r="C7911" t="s">
        <v>7784</v>
      </c>
    </row>
    <row r="7912" spans="1:3" x14ac:dyDescent="0.25">
      <c r="A7912" t="str">
        <f>"0611836704100"</f>
        <v>0611836704100</v>
      </c>
      <c r="B7912" t="str">
        <f>"LH8920"</f>
        <v>LH8920</v>
      </c>
      <c r="C7912" t="s">
        <v>7785</v>
      </c>
    </row>
    <row r="7913" spans="1:3" x14ac:dyDescent="0.25">
      <c r="A7913" t="str">
        <f>"0611836705025"</f>
        <v>0611836705025</v>
      </c>
      <c r="B7913" t="str">
        <f>"MC2862"</f>
        <v>MC2862</v>
      </c>
      <c r="C7913" t="s">
        <v>7786</v>
      </c>
    </row>
    <row r="7914" spans="1:3" x14ac:dyDescent="0.25">
      <c r="A7914" t="str">
        <f>"0611836706100"</f>
        <v>0611836706100</v>
      </c>
      <c r="B7914" t="str">
        <f>"LQ3806"</f>
        <v>LQ3806</v>
      </c>
      <c r="C7914" t="s">
        <v>7787</v>
      </c>
    </row>
    <row r="7915" spans="1:3" x14ac:dyDescent="0.25">
      <c r="A7915" t="str">
        <f>"0611893624050"</f>
        <v>0611893624050</v>
      </c>
      <c r="B7915" t="str">
        <f>"CR5430"</f>
        <v>CR5430</v>
      </c>
      <c r="C7915" t="s">
        <v>7788</v>
      </c>
    </row>
    <row r="7916" spans="1:3" x14ac:dyDescent="0.25">
      <c r="A7916" t="str">
        <f>"0611893625050"</f>
        <v>0611893625050</v>
      </c>
      <c r="B7916" t="str">
        <f>"CR5434"</f>
        <v>CR5434</v>
      </c>
      <c r="C7916" t="s">
        <v>7789</v>
      </c>
    </row>
    <row r="7917" spans="1:3" x14ac:dyDescent="0.25">
      <c r="A7917" t="str">
        <f>"0611893626050"</f>
        <v>0611893626050</v>
      </c>
      <c r="B7917" t="str">
        <f>"CR5436"</f>
        <v>CR5436</v>
      </c>
      <c r="C7917" t="s">
        <v>7790</v>
      </c>
    </row>
    <row r="7918" spans="1:3" x14ac:dyDescent="0.25">
      <c r="A7918" t="str">
        <f>"0611893627050"</f>
        <v>0611893627050</v>
      </c>
      <c r="B7918" t="str">
        <f>"CR5431"</f>
        <v>CR5431</v>
      </c>
      <c r="C7918" t="s">
        <v>7791</v>
      </c>
    </row>
    <row r="7919" spans="1:3" x14ac:dyDescent="0.25">
      <c r="A7919" t="str">
        <f>"0611836707100"</f>
        <v>0611836707100</v>
      </c>
      <c r="B7919" t="str">
        <f>"MB4500"</f>
        <v>MB4500</v>
      </c>
      <c r="C7919" t="s">
        <v>7792</v>
      </c>
    </row>
    <row r="7920" spans="1:3" x14ac:dyDescent="0.25">
      <c r="A7920" t="str">
        <f>"0611836708100"</f>
        <v>0611836708100</v>
      </c>
      <c r="B7920" t="str">
        <f>"LG4500"</f>
        <v>LG4500</v>
      </c>
      <c r="C7920" t="s">
        <v>7793</v>
      </c>
    </row>
    <row r="7921" spans="1:3" x14ac:dyDescent="0.25">
      <c r="A7921" t="str">
        <f>"0611893628050"</f>
        <v>0611893628050</v>
      </c>
      <c r="B7921" t="str">
        <f>"CE1468"</f>
        <v>CE1468</v>
      </c>
      <c r="C7921" t="s">
        <v>7794</v>
      </c>
    </row>
    <row r="7922" spans="1:3" x14ac:dyDescent="0.25">
      <c r="A7922" t="str">
        <f>"0611863288050"</f>
        <v>0611863288050</v>
      </c>
      <c r="B7922" t="str">
        <f>"CE1635"</f>
        <v>CE1635</v>
      </c>
      <c r="C7922" t="s">
        <v>13907</v>
      </c>
    </row>
    <row r="7923" spans="1:3" x14ac:dyDescent="0.25">
      <c r="A7923" t="str">
        <f>"0611893629050"</f>
        <v>0611893629050</v>
      </c>
      <c r="B7923" t="str">
        <f>"CE1430"</f>
        <v>CE1430</v>
      </c>
      <c r="C7923" t="s">
        <v>7795</v>
      </c>
    </row>
    <row r="7924" spans="1:3" x14ac:dyDescent="0.25">
      <c r="A7924" t="str">
        <f>"0611893630050"</f>
        <v>0611893630050</v>
      </c>
      <c r="B7924" t="str">
        <f>"CE1771"</f>
        <v>CE1771</v>
      </c>
      <c r="C7924" t="s">
        <v>7796</v>
      </c>
    </row>
    <row r="7925" spans="1:3" x14ac:dyDescent="0.25">
      <c r="A7925" t="str">
        <f>"0611863286050"</f>
        <v>0611863286050</v>
      </c>
      <c r="B7925" t="str">
        <f>"CE1656"</f>
        <v>CE1656</v>
      </c>
      <c r="C7925" t="s">
        <v>7780</v>
      </c>
    </row>
    <row r="7926" spans="1:3" x14ac:dyDescent="0.25">
      <c r="A7926" t="str">
        <f>"0611863287050"</f>
        <v>0611863287050</v>
      </c>
      <c r="B7926" t="str">
        <f>"CE1657"</f>
        <v>CE1657</v>
      </c>
      <c r="C7926" t="s">
        <v>7781</v>
      </c>
    </row>
    <row r="7927" spans="1:3" x14ac:dyDescent="0.25">
      <c r="A7927" t="str">
        <f>"0611893631050"</f>
        <v>0611893631050</v>
      </c>
      <c r="B7927" t="str">
        <f>"CE1422"</f>
        <v>CE1422</v>
      </c>
      <c r="C7927" t="s">
        <v>7797</v>
      </c>
    </row>
    <row r="7928" spans="1:3" x14ac:dyDescent="0.25">
      <c r="A7928" t="str">
        <f>"0611893632050"</f>
        <v>0611893632050</v>
      </c>
      <c r="B7928" t="str">
        <f>"CE0425"</f>
        <v>CE0425</v>
      </c>
      <c r="C7928" t="s">
        <v>7798</v>
      </c>
    </row>
    <row r="7929" spans="1:3" x14ac:dyDescent="0.25">
      <c r="A7929" t="str">
        <f>"0611836709100"</f>
        <v>0611836709100</v>
      </c>
      <c r="B7929" t="str">
        <f>"LD0038"</f>
        <v>LD0038</v>
      </c>
      <c r="C7929" t="s">
        <v>7799</v>
      </c>
    </row>
    <row r="7930" spans="1:3" x14ac:dyDescent="0.25">
      <c r="A7930" t="str">
        <f>"0611836710100"</f>
        <v>0611836710100</v>
      </c>
      <c r="B7930" t="str">
        <f>"LF4610"</f>
        <v>LF4610</v>
      </c>
      <c r="C7930" t="s">
        <v>7800</v>
      </c>
    </row>
    <row r="7931" spans="1:3" x14ac:dyDescent="0.25">
      <c r="A7931" t="str">
        <f>"0611839514100"</f>
        <v>0611839514100</v>
      </c>
      <c r="B7931" t="str">
        <f>"LS0077"</f>
        <v>LS0077</v>
      </c>
      <c r="C7931" t="s">
        <v>7802</v>
      </c>
    </row>
    <row r="7932" spans="1:3" x14ac:dyDescent="0.25">
      <c r="A7932" t="str">
        <f>"0611839515100"</f>
        <v>0611839515100</v>
      </c>
      <c r="B7932" t="str">
        <f>"LK5281"</f>
        <v>LK5281</v>
      </c>
      <c r="C7932" t="s">
        <v>7801</v>
      </c>
    </row>
    <row r="7933" spans="1:3" x14ac:dyDescent="0.25">
      <c r="A7933" t="str">
        <f>"0611857031100"</f>
        <v>0611857031100</v>
      </c>
      <c r="B7933" t="str">
        <f>"LS0078"</f>
        <v>LS0078</v>
      </c>
      <c r="C7933" t="s">
        <v>7803</v>
      </c>
    </row>
    <row r="7934" spans="1:3" x14ac:dyDescent="0.25">
      <c r="A7934" t="str">
        <f>"0611857032100"</f>
        <v>0611857032100</v>
      </c>
      <c r="B7934" t="str">
        <f>"LS0080"</f>
        <v>LS0080</v>
      </c>
      <c r="C7934" t="s">
        <v>7804</v>
      </c>
    </row>
    <row r="7935" spans="1:3" x14ac:dyDescent="0.25">
      <c r="A7935" t="str">
        <f>"0611839516100"</f>
        <v>0611839516100</v>
      </c>
      <c r="B7935" t="str">
        <f>"LK6865"</f>
        <v>LK6865</v>
      </c>
      <c r="C7935" t="s">
        <v>7805</v>
      </c>
    </row>
    <row r="7936" spans="1:3" x14ac:dyDescent="0.25">
      <c r="A7936" t="str">
        <f>"0611884306100"</f>
        <v>0611884306100</v>
      </c>
      <c r="B7936" t="str">
        <f>"LK5481"</f>
        <v>LK5481</v>
      </c>
      <c r="C7936" t="s">
        <v>7806</v>
      </c>
    </row>
    <row r="7937" spans="1:3" x14ac:dyDescent="0.25">
      <c r="A7937" t="str">
        <f>"0611884307100"</f>
        <v>0611884307100</v>
      </c>
      <c r="B7937" t="str">
        <f>"LK5482"</f>
        <v>LK5482</v>
      </c>
      <c r="C7937" t="s">
        <v>7807</v>
      </c>
    </row>
    <row r="7938" spans="1:3" x14ac:dyDescent="0.25">
      <c r="A7938" t="str">
        <f>"0611884308100"</f>
        <v>0611884308100</v>
      </c>
      <c r="B7938" t="str">
        <f>"LK7166"</f>
        <v>LK7166</v>
      </c>
      <c r="C7938" t="s">
        <v>7808</v>
      </c>
    </row>
    <row r="7939" spans="1:3" x14ac:dyDescent="0.25">
      <c r="A7939" t="str">
        <f>"0611839521100"</f>
        <v>0611839521100</v>
      </c>
      <c r="B7939" t="str">
        <f>"LK5485"</f>
        <v>LK5485</v>
      </c>
      <c r="C7939" t="s">
        <v>7809</v>
      </c>
    </row>
    <row r="7940" spans="1:3" x14ac:dyDescent="0.25">
      <c r="A7940" t="str">
        <f>"0611839522100"</f>
        <v>0611839522100</v>
      </c>
      <c r="B7940" t="str">
        <f>"LK5486"</f>
        <v>LK5486</v>
      </c>
      <c r="C7940" t="s">
        <v>7810</v>
      </c>
    </row>
    <row r="7941" spans="1:3" x14ac:dyDescent="0.25">
      <c r="A7941" t="str">
        <f>"0611839523100"</f>
        <v>0611839523100</v>
      </c>
      <c r="B7941" t="str">
        <f>"LB4603"</f>
        <v>LB4603</v>
      </c>
      <c r="C7941" t="s">
        <v>7811</v>
      </c>
    </row>
    <row r="7942" spans="1:3" x14ac:dyDescent="0.25">
      <c r="A7942" t="str">
        <f>"0611839524100"</f>
        <v>0611839524100</v>
      </c>
      <c r="B7942" t="str">
        <f>"LB4602"</f>
        <v>LB4602</v>
      </c>
      <c r="C7942" t="s">
        <v>7812</v>
      </c>
    </row>
    <row r="7943" spans="1:3" x14ac:dyDescent="0.25">
      <c r="A7943" t="str">
        <f>"0611839525100"</f>
        <v>0611839525100</v>
      </c>
      <c r="B7943" t="str">
        <f>"LB4601"</f>
        <v>LB4601</v>
      </c>
      <c r="C7943" t="s">
        <v>7813</v>
      </c>
    </row>
    <row r="7944" spans="1:3" x14ac:dyDescent="0.25">
      <c r="A7944" t="str">
        <f>"0611839526100"</f>
        <v>0611839526100</v>
      </c>
      <c r="B7944" t="str">
        <f>"LB4678"</f>
        <v>LB4678</v>
      </c>
      <c r="C7944" t="s">
        <v>7814</v>
      </c>
    </row>
    <row r="7945" spans="1:3" x14ac:dyDescent="0.25">
      <c r="A7945" t="str">
        <f>"0611839527100"</f>
        <v>0611839527100</v>
      </c>
      <c r="B7945" t="str">
        <f>"LB4600"</f>
        <v>LB4600</v>
      </c>
      <c r="C7945" t="s">
        <v>7815</v>
      </c>
    </row>
    <row r="7946" spans="1:3" x14ac:dyDescent="0.25">
      <c r="A7946" t="str">
        <f>"0611839528100"</f>
        <v>0611839528100</v>
      </c>
      <c r="B7946" t="str">
        <f>"LK5494"</f>
        <v>LK5494</v>
      </c>
      <c r="C7946" t="s">
        <v>7816</v>
      </c>
    </row>
    <row r="7947" spans="1:3" x14ac:dyDescent="0.25">
      <c r="A7947" t="str">
        <f>"0611839529100"</f>
        <v>0611839529100</v>
      </c>
      <c r="B7947" t="str">
        <f>"LK6086"</f>
        <v>LK6086</v>
      </c>
      <c r="C7947" t="s">
        <v>7817</v>
      </c>
    </row>
    <row r="7948" spans="1:3" x14ac:dyDescent="0.25">
      <c r="A7948" t="str">
        <f>"0611839530100"</f>
        <v>0611839530100</v>
      </c>
      <c r="B7948" t="str">
        <f>"LK5495"</f>
        <v>LK5495</v>
      </c>
      <c r="C7948" t="s">
        <v>7818</v>
      </c>
    </row>
    <row r="7949" spans="1:3" x14ac:dyDescent="0.25">
      <c r="A7949" t="str">
        <f>"0611839531100"</f>
        <v>0611839531100</v>
      </c>
      <c r="B7949" t="str">
        <f>"LK5496"</f>
        <v>LK5496</v>
      </c>
      <c r="C7949" t="s">
        <v>7819</v>
      </c>
    </row>
    <row r="7950" spans="1:3" x14ac:dyDescent="0.25">
      <c r="A7950" t="str">
        <f>"0611839532100"</f>
        <v>0611839532100</v>
      </c>
      <c r="B7950" t="str">
        <f>"LS0082"</f>
        <v>LS0082</v>
      </c>
      <c r="C7950" t="s">
        <v>7820</v>
      </c>
    </row>
    <row r="7951" spans="1:3" x14ac:dyDescent="0.25">
      <c r="A7951" t="str">
        <f>"0611839533100"</f>
        <v>0611839533100</v>
      </c>
      <c r="B7951" t="str">
        <f>"LK6588"</f>
        <v>LK6588</v>
      </c>
      <c r="C7951" t="s">
        <v>7821</v>
      </c>
    </row>
    <row r="7952" spans="1:3" x14ac:dyDescent="0.25">
      <c r="A7952" t="str">
        <f>"0611839534100"</f>
        <v>0611839534100</v>
      </c>
      <c r="B7952" t="str">
        <f>"LK6827"</f>
        <v>LK6827</v>
      </c>
      <c r="C7952" t="s">
        <v>7822</v>
      </c>
    </row>
    <row r="7953" spans="1:3" x14ac:dyDescent="0.25">
      <c r="A7953" t="str">
        <f>"0611839535100"</f>
        <v>0611839535100</v>
      </c>
      <c r="B7953" t="str">
        <f>"LK6828"</f>
        <v>LK6828</v>
      </c>
      <c r="C7953" t="s">
        <v>7823</v>
      </c>
    </row>
    <row r="7954" spans="1:3" x14ac:dyDescent="0.25">
      <c r="A7954" t="str">
        <f>"0611839536100"</f>
        <v>0611839536100</v>
      </c>
      <c r="B7954" t="str">
        <f>"LK6803"</f>
        <v>LK6803</v>
      </c>
      <c r="C7954" t="s">
        <v>7824</v>
      </c>
    </row>
    <row r="7955" spans="1:3" x14ac:dyDescent="0.25">
      <c r="A7955" t="str">
        <f>"0611839537100"</f>
        <v>0611839537100</v>
      </c>
      <c r="B7955" t="str">
        <f>"LK6804"</f>
        <v>LK6804</v>
      </c>
      <c r="C7955" t="s">
        <v>7825</v>
      </c>
    </row>
    <row r="7956" spans="1:3" x14ac:dyDescent="0.25">
      <c r="A7956" t="str">
        <f>"0611839538100"</f>
        <v>0611839538100</v>
      </c>
      <c r="B7956" t="str">
        <f>"LK6805"</f>
        <v>LK6805</v>
      </c>
      <c r="C7956" t="s">
        <v>7826</v>
      </c>
    </row>
    <row r="7957" spans="1:3" x14ac:dyDescent="0.25">
      <c r="A7957" t="str">
        <f>"0611839539100"</f>
        <v>0611839539100</v>
      </c>
      <c r="B7957" t="str">
        <f>"LK6806"</f>
        <v>LK6806</v>
      </c>
      <c r="C7957" t="s">
        <v>7827</v>
      </c>
    </row>
    <row r="7958" spans="1:3" x14ac:dyDescent="0.25">
      <c r="A7958" t="str">
        <f>"0611839678100"</f>
        <v>0611839678100</v>
      </c>
      <c r="B7958" t="str">
        <f>"LS0076"</f>
        <v>LS0076</v>
      </c>
      <c r="C7958" t="s">
        <v>7894</v>
      </c>
    </row>
    <row r="7959" spans="1:3" x14ac:dyDescent="0.25">
      <c r="A7959" t="str">
        <f>"0611839540100"</f>
        <v>0611839540100</v>
      </c>
      <c r="B7959" t="str">
        <f>"LB4650"</f>
        <v>LB4650</v>
      </c>
      <c r="C7959" t="s">
        <v>7828</v>
      </c>
    </row>
    <row r="7960" spans="1:3" x14ac:dyDescent="0.25">
      <c r="A7960" t="str">
        <f>"0611839541100"</f>
        <v>0611839541100</v>
      </c>
      <c r="B7960" t="str">
        <f>"LB4654"</f>
        <v>LB4654</v>
      </c>
      <c r="C7960" t="s">
        <v>7829</v>
      </c>
    </row>
    <row r="7961" spans="1:3" x14ac:dyDescent="0.25">
      <c r="A7961" t="str">
        <f>"0611839542100"</f>
        <v>0611839542100</v>
      </c>
      <c r="B7961" t="str">
        <f>"LB4674"</f>
        <v>LB4674</v>
      </c>
      <c r="C7961" t="s">
        <v>7830</v>
      </c>
    </row>
    <row r="7962" spans="1:3" x14ac:dyDescent="0.25">
      <c r="A7962" t="str">
        <f>"0611839543100"</f>
        <v>0611839543100</v>
      </c>
      <c r="B7962" t="str">
        <f>"LB4655"</f>
        <v>LB4655</v>
      </c>
      <c r="C7962" t="s">
        <v>7831</v>
      </c>
    </row>
    <row r="7963" spans="1:3" x14ac:dyDescent="0.25">
      <c r="A7963" t="str">
        <f>"0611839544100"</f>
        <v>0611839544100</v>
      </c>
      <c r="B7963" t="str">
        <f>"LB4658"</f>
        <v>LB4658</v>
      </c>
      <c r="C7963" t="s">
        <v>7832</v>
      </c>
    </row>
    <row r="7964" spans="1:3" x14ac:dyDescent="0.25">
      <c r="A7964" t="str">
        <f>"0611839545100"</f>
        <v>0611839545100</v>
      </c>
      <c r="B7964" t="str">
        <f>"LB4656"</f>
        <v>LB4656</v>
      </c>
      <c r="C7964" t="s">
        <v>7833</v>
      </c>
    </row>
    <row r="7965" spans="1:3" x14ac:dyDescent="0.25">
      <c r="A7965" t="str">
        <f>"0611839546100"</f>
        <v>0611839546100</v>
      </c>
      <c r="B7965" t="str">
        <f>"LB4659"</f>
        <v>LB4659</v>
      </c>
      <c r="C7965" t="s">
        <v>7834</v>
      </c>
    </row>
    <row r="7966" spans="1:3" x14ac:dyDescent="0.25">
      <c r="A7966" t="str">
        <f>"0611839547100"</f>
        <v>0611839547100</v>
      </c>
      <c r="B7966" t="str">
        <f>"LB4657"</f>
        <v>LB4657</v>
      </c>
      <c r="C7966" t="s">
        <v>7835</v>
      </c>
    </row>
    <row r="7967" spans="1:3" x14ac:dyDescent="0.25">
      <c r="A7967" t="str">
        <f>"0611839548100"</f>
        <v>0611839548100</v>
      </c>
      <c r="B7967" t="str">
        <f>"LB4661"</f>
        <v>LB4661</v>
      </c>
      <c r="C7967" t="s">
        <v>7836</v>
      </c>
    </row>
    <row r="7968" spans="1:3" x14ac:dyDescent="0.25">
      <c r="A7968" t="str">
        <f>"0611839549100"</f>
        <v>0611839549100</v>
      </c>
      <c r="B7968" t="str">
        <f>"LB4660"</f>
        <v>LB4660</v>
      </c>
      <c r="C7968" t="s">
        <v>7837</v>
      </c>
    </row>
    <row r="7969" spans="1:3" x14ac:dyDescent="0.25">
      <c r="A7969" t="str">
        <f>"0611839551100"</f>
        <v>0611839551100</v>
      </c>
      <c r="B7969" t="str">
        <f>"LB4858"</f>
        <v>LB4858</v>
      </c>
      <c r="C7969" t="s">
        <v>7838</v>
      </c>
    </row>
    <row r="7970" spans="1:3" x14ac:dyDescent="0.25">
      <c r="A7970" t="str">
        <f>"0611839552100"</f>
        <v>0611839552100</v>
      </c>
      <c r="B7970" t="str">
        <f>"LB4670"</f>
        <v>LB4670</v>
      </c>
      <c r="C7970" t="s">
        <v>7839</v>
      </c>
    </row>
    <row r="7971" spans="1:3" x14ac:dyDescent="0.25">
      <c r="A7971" t="str">
        <f>"0611839553100"</f>
        <v>0611839553100</v>
      </c>
      <c r="B7971" t="str">
        <f>"LB5028"</f>
        <v>LB5028</v>
      </c>
      <c r="C7971" t="s">
        <v>7840</v>
      </c>
    </row>
    <row r="7972" spans="1:3" x14ac:dyDescent="0.25">
      <c r="A7972" t="str">
        <f>"0611839554100"</f>
        <v>0611839554100</v>
      </c>
      <c r="B7972" t="str">
        <f>"LB5241"</f>
        <v>LB5241</v>
      </c>
      <c r="C7972" t="s">
        <v>7841</v>
      </c>
    </row>
    <row r="7973" spans="1:3" x14ac:dyDescent="0.25">
      <c r="A7973" t="str">
        <f>"0611839555100"</f>
        <v>0611839555100</v>
      </c>
      <c r="B7973" t="str">
        <f>"LB5365"</f>
        <v>LB5365</v>
      </c>
      <c r="C7973" t="s">
        <v>7842</v>
      </c>
    </row>
    <row r="7974" spans="1:3" x14ac:dyDescent="0.25">
      <c r="A7974" t="str">
        <f>"0611839558100"</f>
        <v>0611839558100</v>
      </c>
      <c r="B7974" t="str">
        <f>"LK6220"</f>
        <v>LK6220</v>
      </c>
      <c r="C7974" t="s">
        <v>7843</v>
      </c>
    </row>
    <row r="7975" spans="1:3" x14ac:dyDescent="0.25">
      <c r="A7975" t="str">
        <f>"0611839560100"</f>
        <v>0611839560100</v>
      </c>
      <c r="B7975" t="str">
        <f>"LK6223"</f>
        <v>LK6223</v>
      </c>
      <c r="C7975" t="s">
        <v>7844</v>
      </c>
    </row>
    <row r="7976" spans="1:3" x14ac:dyDescent="0.25">
      <c r="A7976" t="str">
        <f>"0611839561100"</f>
        <v>0611839561100</v>
      </c>
      <c r="B7976" t="str">
        <f>"LK6222"</f>
        <v>LK6222</v>
      </c>
      <c r="C7976" t="s">
        <v>7845</v>
      </c>
    </row>
    <row r="7977" spans="1:3" x14ac:dyDescent="0.25">
      <c r="A7977" t="str">
        <f>"0611839562100"</f>
        <v>0611839562100</v>
      </c>
      <c r="B7977" t="str">
        <f>"LK6224"</f>
        <v>LK6224</v>
      </c>
      <c r="C7977" t="s">
        <v>7846</v>
      </c>
    </row>
    <row r="7978" spans="1:3" x14ac:dyDescent="0.25">
      <c r="A7978" t="str">
        <f>"0611839563100"</f>
        <v>0611839563100</v>
      </c>
      <c r="B7978" t="str">
        <f>"LB4723"</f>
        <v>LB4723</v>
      </c>
      <c r="C7978" t="s">
        <v>7847</v>
      </c>
    </row>
    <row r="7979" spans="1:3" x14ac:dyDescent="0.25">
      <c r="A7979" t="str">
        <f>"0611884309100"</f>
        <v>0611884309100</v>
      </c>
      <c r="B7979" t="str">
        <f>"LK7167"</f>
        <v>LK7167</v>
      </c>
      <c r="C7979" t="s">
        <v>7848</v>
      </c>
    </row>
    <row r="7980" spans="1:3" x14ac:dyDescent="0.25">
      <c r="A7980" t="str">
        <f>"0611884310100"</f>
        <v>0611884310100</v>
      </c>
      <c r="B7980" t="str">
        <f>"LK5491"</f>
        <v>LK5491</v>
      </c>
      <c r="C7980" t="s">
        <v>7849</v>
      </c>
    </row>
    <row r="7981" spans="1:3" x14ac:dyDescent="0.25">
      <c r="A7981" t="str">
        <f>"0611884311100"</f>
        <v>0611884311100</v>
      </c>
      <c r="B7981" t="str">
        <f>"LK5487"</f>
        <v>LK5487</v>
      </c>
      <c r="C7981" t="s">
        <v>7850</v>
      </c>
    </row>
    <row r="7982" spans="1:3" x14ac:dyDescent="0.25">
      <c r="A7982" t="str">
        <f>"0611884312100"</f>
        <v>0611884312100</v>
      </c>
      <c r="B7982" t="str">
        <f>"LK5488"</f>
        <v>LK5488</v>
      </c>
      <c r="C7982" t="s">
        <v>7851</v>
      </c>
    </row>
    <row r="7983" spans="1:3" x14ac:dyDescent="0.25">
      <c r="A7983" t="str">
        <f>"0611884313100"</f>
        <v>0611884313100</v>
      </c>
      <c r="B7983" t="str">
        <f>"LK5489"</f>
        <v>LK5489</v>
      </c>
      <c r="C7983" t="s">
        <v>7852</v>
      </c>
    </row>
    <row r="7984" spans="1:3" x14ac:dyDescent="0.25">
      <c r="A7984" t="str">
        <f>"0611884314100"</f>
        <v>0611884314100</v>
      </c>
      <c r="B7984" t="str">
        <f>"LK7168"</f>
        <v>LK7168</v>
      </c>
      <c r="C7984" t="s">
        <v>7853</v>
      </c>
    </row>
    <row r="7985" spans="1:3" x14ac:dyDescent="0.25">
      <c r="A7985" t="str">
        <f>"0611884315100"</f>
        <v>0611884315100</v>
      </c>
      <c r="B7985" t="str">
        <f>"LK5490"</f>
        <v>LK5490</v>
      </c>
      <c r="C7985" t="s">
        <v>7854</v>
      </c>
    </row>
    <row r="7986" spans="1:3" x14ac:dyDescent="0.25">
      <c r="A7986" t="str">
        <f>"0611884316100"</f>
        <v>0611884316100</v>
      </c>
      <c r="B7986" t="str">
        <f>"LK5492"</f>
        <v>LK5492</v>
      </c>
      <c r="C7986" t="s">
        <v>7855</v>
      </c>
    </row>
    <row r="7987" spans="1:3" x14ac:dyDescent="0.25">
      <c r="A7987" t="str">
        <f>"0611884317100"</f>
        <v>0611884317100</v>
      </c>
      <c r="B7987" t="str">
        <f>"LK5493"</f>
        <v>LK5493</v>
      </c>
      <c r="C7987" t="s">
        <v>7856</v>
      </c>
    </row>
    <row r="7988" spans="1:3" x14ac:dyDescent="0.25">
      <c r="A7988" t="str">
        <f>"0611839565100"</f>
        <v>0611839565100</v>
      </c>
      <c r="B7988" t="str">
        <f>"LB5089"</f>
        <v>LB5089</v>
      </c>
      <c r="C7988" t="s">
        <v>7857</v>
      </c>
    </row>
    <row r="7989" spans="1:3" x14ac:dyDescent="0.25">
      <c r="A7989" t="str">
        <f>"0611839566100"</f>
        <v>0611839566100</v>
      </c>
      <c r="B7989" t="str">
        <f>"LB5100"</f>
        <v>LB5100</v>
      </c>
      <c r="C7989" t="s">
        <v>7858</v>
      </c>
    </row>
    <row r="7990" spans="1:3" x14ac:dyDescent="0.25">
      <c r="A7990" t="str">
        <f>"0611839569100"</f>
        <v>0611839569100</v>
      </c>
      <c r="B7990" t="str">
        <f>"LB4675"</f>
        <v>LB4675</v>
      </c>
      <c r="C7990" t="s">
        <v>7859</v>
      </c>
    </row>
    <row r="7991" spans="1:3" x14ac:dyDescent="0.25">
      <c r="A7991" t="str">
        <f>"0611839570100"</f>
        <v>0611839570100</v>
      </c>
      <c r="B7991" t="str">
        <f>"LB4732"</f>
        <v>LB4732</v>
      </c>
      <c r="C7991" t="s">
        <v>7860</v>
      </c>
    </row>
    <row r="7992" spans="1:3" x14ac:dyDescent="0.25">
      <c r="A7992" t="str">
        <f>"0611839571100"</f>
        <v>0611839571100</v>
      </c>
      <c r="B7992" t="str">
        <f>"LB4734"</f>
        <v>LB4734</v>
      </c>
      <c r="C7992" t="s">
        <v>7861</v>
      </c>
    </row>
    <row r="7993" spans="1:3" x14ac:dyDescent="0.25">
      <c r="A7993" t="str">
        <f>"0611839572100"</f>
        <v>0611839572100</v>
      </c>
      <c r="B7993" t="str">
        <f>"LB4736"</f>
        <v>LB4736</v>
      </c>
      <c r="C7993" t="s">
        <v>7862</v>
      </c>
    </row>
    <row r="7994" spans="1:3" x14ac:dyDescent="0.25">
      <c r="A7994" t="str">
        <f>"0611839573100"</f>
        <v>0611839573100</v>
      </c>
      <c r="B7994" t="str">
        <f>"LB4738"</f>
        <v>LB4738</v>
      </c>
      <c r="C7994" t="s">
        <v>7863</v>
      </c>
    </row>
    <row r="7995" spans="1:3" x14ac:dyDescent="0.25">
      <c r="A7995" t="str">
        <f>"0611839574100"</f>
        <v>0611839574100</v>
      </c>
      <c r="B7995" t="str">
        <f>"LB4628"</f>
        <v>LB4628</v>
      </c>
      <c r="C7995" t="s">
        <v>7864</v>
      </c>
    </row>
    <row r="7996" spans="1:3" x14ac:dyDescent="0.25">
      <c r="A7996" t="str">
        <f>"0611839575100"</f>
        <v>0611839575100</v>
      </c>
      <c r="B7996" t="str">
        <f>"LB4743"</f>
        <v>LB4743</v>
      </c>
      <c r="C7996" t="s">
        <v>7865</v>
      </c>
    </row>
    <row r="7997" spans="1:3" x14ac:dyDescent="0.25">
      <c r="A7997" t="str">
        <f>"0611839576100"</f>
        <v>0611839576100</v>
      </c>
      <c r="B7997" t="str">
        <f>"LB4744"</f>
        <v>LB4744</v>
      </c>
      <c r="C7997" t="s">
        <v>7866</v>
      </c>
    </row>
    <row r="7998" spans="1:3" x14ac:dyDescent="0.25">
      <c r="A7998" t="str">
        <f>"0611839577100"</f>
        <v>0611839577100</v>
      </c>
      <c r="B7998" t="str">
        <f>"LB4745"</f>
        <v>LB4745</v>
      </c>
      <c r="C7998" t="s">
        <v>7867</v>
      </c>
    </row>
    <row r="7999" spans="1:3" x14ac:dyDescent="0.25">
      <c r="A7999" t="str">
        <f>"0611839579100"</f>
        <v>0611839579100</v>
      </c>
      <c r="B7999" t="str">
        <f>"LB4694"</f>
        <v>LB4694</v>
      </c>
      <c r="C7999" t="s">
        <v>7868</v>
      </c>
    </row>
    <row r="8000" spans="1:3" x14ac:dyDescent="0.25">
      <c r="A8000" t="str">
        <f>"0611839580100"</f>
        <v>0611839580100</v>
      </c>
      <c r="B8000" t="str">
        <f>"LK0799"</f>
        <v>LK0799</v>
      </c>
      <c r="C8000" t="s">
        <v>7869</v>
      </c>
    </row>
    <row r="8001" spans="1:3" x14ac:dyDescent="0.25">
      <c r="A8001" t="str">
        <f>"0611839581100"</f>
        <v>0611839581100</v>
      </c>
      <c r="B8001" t="str">
        <f>"LB4699"</f>
        <v>LB4699</v>
      </c>
      <c r="C8001" t="s">
        <v>7870</v>
      </c>
    </row>
    <row r="8002" spans="1:3" x14ac:dyDescent="0.25">
      <c r="A8002" t="str">
        <f>"0611839582100"</f>
        <v>0611839582100</v>
      </c>
      <c r="B8002" t="str">
        <f>"LB4700"</f>
        <v>LB4700</v>
      </c>
      <c r="C8002" t="s">
        <v>7871</v>
      </c>
    </row>
    <row r="8003" spans="1:3" x14ac:dyDescent="0.25">
      <c r="A8003" t="str">
        <f>"0611839583100"</f>
        <v>0611839583100</v>
      </c>
      <c r="B8003" t="str">
        <f>"LB4702"</f>
        <v>LB4702</v>
      </c>
      <c r="C8003" t="s">
        <v>7872</v>
      </c>
    </row>
    <row r="8004" spans="1:3" x14ac:dyDescent="0.25">
      <c r="A8004" t="str">
        <f>"0611839584100"</f>
        <v>0611839584100</v>
      </c>
      <c r="B8004" t="str">
        <f>"LB4703"</f>
        <v>LB4703</v>
      </c>
      <c r="C8004" t="s">
        <v>7873</v>
      </c>
    </row>
    <row r="8005" spans="1:3" x14ac:dyDescent="0.25">
      <c r="A8005" t="str">
        <f>"0611839585100"</f>
        <v>0611839585100</v>
      </c>
      <c r="B8005" t="str">
        <f>"LK1618"</f>
        <v>LK1618</v>
      </c>
      <c r="C8005" t="s">
        <v>7874</v>
      </c>
    </row>
    <row r="8006" spans="1:3" x14ac:dyDescent="0.25">
      <c r="A8006" t="str">
        <f>"0611839586100"</f>
        <v>0611839586100</v>
      </c>
      <c r="B8006" t="str">
        <f>"LB4704"</f>
        <v>LB4704</v>
      </c>
      <c r="C8006" t="s">
        <v>7875</v>
      </c>
    </row>
    <row r="8007" spans="1:3" x14ac:dyDescent="0.25">
      <c r="A8007" t="str">
        <f>"0611839587100"</f>
        <v>0611839587100</v>
      </c>
      <c r="B8007" t="str">
        <f>"LK0800"</f>
        <v>LK0800</v>
      </c>
      <c r="C8007" t="s">
        <v>7876</v>
      </c>
    </row>
    <row r="8008" spans="1:3" x14ac:dyDescent="0.25">
      <c r="A8008" t="str">
        <f>"0611839588100"</f>
        <v>0611839588100</v>
      </c>
      <c r="B8008" t="str">
        <f>"LB4708"</f>
        <v>LB4708</v>
      </c>
      <c r="C8008" t="s">
        <v>7877</v>
      </c>
    </row>
    <row r="8009" spans="1:3" x14ac:dyDescent="0.25">
      <c r="A8009" t="str">
        <f>"0611839589100"</f>
        <v>0611839589100</v>
      </c>
      <c r="B8009" t="str">
        <f>"LB4597"</f>
        <v>LB4597</v>
      </c>
      <c r="C8009" t="s">
        <v>7878</v>
      </c>
    </row>
    <row r="8010" spans="1:3" x14ac:dyDescent="0.25">
      <c r="A8010" t="str">
        <f>"0611839590100"</f>
        <v>0611839590100</v>
      </c>
      <c r="B8010" t="str">
        <f>"LB4755"</f>
        <v>LB4755</v>
      </c>
      <c r="C8010" t="s">
        <v>7879</v>
      </c>
    </row>
    <row r="8011" spans="1:3" x14ac:dyDescent="0.25">
      <c r="A8011" t="str">
        <f>"0611839591100"</f>
        <v>0611839591100</v>
      </c>
      <c r="B8011" t="str">
        <f>"LB4756"</f>
        <v>LB4756</v>
      </c>
      <c r="C8011" t="s">
        <v>7880</v>
      </c>
    </row>
    <row r="8012" spans="1:3" x14ac:dyDescent="0.25">
      <c r="A8012" t="str">
        <f>"0611839592100"</f>
        <v>0611839592100</v>
      </c>
      <c r="B8012" t="str">
        <f>"LB4757"</f>
        <v>LB4757</v>
      </c>
      <c r="C8012" t="s">
        <v>7881</v>
      </c>
    </row>
    <row r="8013" spans="1:3" x14ac:dyDescent="0.25">
      <c r="A8013" t="str">
        <f>"0611839593100"</f>
        <v>0611839593100</v>
      </c>
      <c r="B8013" t="str">
        <f>"LK6866"</f>
        <v>LK6866</v>
      </c>
      <c r="C8013" t="s">
        <v>7882</v>
      </c>
    </row>
    <row r="8014" spans="1:3" x14ac:dyDescent="0.25">
      <c r="A8014" t="str">
        <f>"0611839594100"</f>
        <v>0611839594100</v>
      </c>
      <c r="B8014" t="str">
        <f>"LK6867"</f>
        <v>LK6867</v>
      </c>
      <c r="C8014" t="s">
        <v>7883</v>
      </c>
    </row>
    <row r="8015" spans="1:3" x14ac:dyDescent="0.25">
      <c r="A8015" t="str">
        <f>"0611839595100"</f>
        <v>0611839595100</v>
      </c>
      <c r="B8015" t="str">
        <f>"LK6868"</f>
        <v>LK6868</v>
      </c>
      <c r="C8015" t="s">
        <v>7884</v>
      </c>
    </row>
    <row r="8016" spans="1:3" x14ac:dyDescent="0.25">
      <c r="A8016" t="str">
        <f>"0611839596100"</f>
        <v>0611839596100</v>
      </c>
      <c r="B8016" t="str">
        <f>"LK6869"</f>
        <v>LK6869</v>
      </c>
      <c r="C8016" t="s">
        <v>7885</v>
      </c>
    </row>
    <row r="8017" spans="1:3" x14ac:dyDescent="0.25">
      <c r="A8017" t="str">
        <f>"0611839597100"</f>
        <v>0611839597100</v>
      </c>
      <c r="B8017" t="str">
        <f>"LK6085"</f>
        <v>LK6085</v>
      </c>
      <c r="C8017" t="s">
        <v>7886</v>
      </c>
    </row>
    <row r="8018" spans="1:3" x14ac:dyDescent="0.25">
      <c r="A8018" t="str">
        <f>"0611839598100"</f>
        <v>0611839598100</v>
      </c>
      <c r="B8018" t="str">
        <f>"LK6557"</f>
        <v>LK6557</v>
      </c>
      <c r="C8018" t="s">
        <v>7887</v>
      </c>
    </row>
    <row r="8019" spans="1:3" x14ac:dyDescent="0.25">
      <c r="A8019" t="str">
        <f>"0611839599100"</f>
        <v>0611839599100</v>
      </c>
      <c r="B8019" t="str">
        <f>"LS0081"</f>
        <v>LS0081</v>
      </c>
      <c r="C8019" t="s">
        <v>7888</v>
      </c>
    </row>
    <row r="8020" spans="1:3" x14ac:dyDescent="0.25">
      <c r="A8020" t="str">
        <f>"0611839600100"</f>
        <v>0611839600100</v>
      </c>
      <c r="B8020" t="str">
        <f>"LB4664"</f>
        <v>LB4664</v>
      </c>
      <c r="C8020" t="s">
        <v>7889</v>
      </c>
    </row>
    <row r="8021" spans="1:3" x14ac:dyDescent="0.25">
      <c r="A8021" t="str">
        <f>"0611839602100"</f>
        <v>0611839602100</v>
      </c>
      <c r="B8021" t="str">
        <f>"LK6829"</f>
        <v>LK6829</v>
      </c>
      <c r="C8021" t="s">
        <v>13908</v>
      </c>
    </row>
    <row r="8022" spans="1:3" x14ac:dyDescent="0.25">
      <c r="A8022" t="str">
        <f>"0611839603100"</f>
        <v>0611839603100</v>
      </c>
      <c r="B8022" t="str">
        <f>"LK2891"</f>
        <v>LK2891</v>
      </c>
      <c r="C8022" t="s">
        <v>7890</v>
      </c>
    </row>
    <row r="8023" spans="1:3" x14ac:dyDescent="0.25">
      <c r="A8023" t="str">
        <f>"0611839604100"</f>
        <v>0611839604100</v>
      </c>
      <c r="B8023" t="str">
        <f>"LB4709"</f>
        <v>LB4709</v>
      </c>
      <c r="C8023" t="s">
        <v>7891</v>
      </c>
    </row>
    <row r="8024" spans="1:3" x14ac:dyDescent="0.25">
      <c r="A8024" t="str">
        <f>"0611884318025"</f>
        <v>0611884318025</v>
      </c>
      <c r="B8024" t="str">
        <f>"MC4484"</f>
        <v>MC4484</v>
      </c>
      <c r="C8024" t="s">
        <v>7892</v>
      </c>
    </row>
    <row r="8025" spans="1:3" x14ac:dyDescent="0.25">
      <c r="A8025" t="str">
        <f>"0611884319025"</f>
        <v>0611884319025</v>
      </c>
      <c r="B8025" t="str">
        <f>"MC4485"</f>
        <v>MC4485</v>
      </c>
      <c r="C8025" t="s">
        <v>7893</v>
      </c>
    </row>
    <row r="8026" spans="1:3" x14ac:dyDescent="0.25">
      <c r="A8026" t="str">
        <f>"0611839605100"</f>
        <v>0611839605100</v>
      </c>
      <c r="B8026" t="str">
        <f>"LK6907"</f>
        <v>LK6907</v>
      </c>
      <c r="C8026" t="s">
        <v>7895</v>
      </c>
    </row>
    <row r="8027" spans="1:3" x14ac:dyDescent="0.25">
      <c r="A8027" t="str">
        <f>"0611839606100"</f>
        <v>0611839606100</v>
      </c>
      <c r="B8027" t="str">
        <f>"LK6908"</f>
        <v>LK6908</v>
      </c>
      <c r="C8027" t="s">
        <v>7896</v>
      </c>
    </row>
    <row r="8028" spans="1:3" x14ac:dyDescent="0.25">
      <c r="A8028" t="str">
        <f>"0611839607100"</f>
        <v>0611839607100</v>
      </c>
      <c r="B8028" t="str">
        <f>"LK6909"</f>
        <v>LK6909</v>
      </c>
      <c r="C8028" t="s">
        <v>7897</v>
      </c>
    </row>
    <row r="8029" spans="1:3" x14ac:dyDescent="0.25">
      <c r="A8029" t="str">
        <f>"0611839608100"</f>
        <v>0611839608100</v>
      </c>
      <c r="B8029" t="str">
        <f>"LK6910"</f>
        <v>LK6910</v>
      </c>
      <c r="C8029" t="s">
        <v>7898</v>
      </c>
    </row>
    <row r="8030" spans="1:3" x14ac:dyDescent="0.25">
      <c r="A8030" t="str">
        <f>"0611839609100"</f>
        <v>0611839609100</v>
      </c>
      <c r="B8030" t="str">
        <f>"LK6911"</f>
        <v>LK6911</v>
      </c>
      <c r="C8030" t="s">
        <v>7899</v>
      </c>
    </row>
    <row r="8031" spans="1:3" x14ac:dyDescent="0.25">
      <c r="A8031" t="str">
        <f>"0611839610100"</f>
        <v>0611839610100</v>
      </c>
      <c r="B8031" t="str">
        <f>"LK6912"</f>
        <v>LK6912</v>
      </c>
      <c r="C8031" t="s">
        <v>7900</v>
      </c>
    </row>
    <row r="8032" spans="1:3" x14ac:dyDescent="0.25">
      <c r="A8032" t="str">
        <f>"0611839611100"</f>
        <v>0611839611100</v>
      </c>
      <c r="B8032" t="str">
        <f>"LB4707"</f>
        <v>LB4707</v>
      </c>
      <c r="C8032" t="s">
        <v>7901</v>
      </c>
    </row>
    <row r="8033" spans="1:3" x14ac:dyDescent="0.25">
      <c r="A8033" t="str">
        <f>"0611839612100"</f>
        <v>0611839612100</v>
      </c>
      <c r="B8033" t="str">
        <f>"LB4863"</f>
        <v>LB4863</v>
      </c>
      <c r="C8033" t="s">
        <v>7902</v>
      </c>
    </row>
    <row r="8034" spans="1:3" x14ac:dyDescent="0.25">
      <c r="A8034" t="str">
        <f>"0611839613100"</f>
        <v>0611839613100</v>
      </c>
      <c r="B8034" t="str">
        <f>"LB4866"</f>
        <v>LB4866</v>
      </c>
      <c r="C8034" t="s">
        <v>7903</v>
      </c>
    </row>
    <row r="8035" spans="1:3" x14ac:dyDescent="0.25">
      <c r="A8035" t="str">
        <f>"0611839614100"</f>
        <v>0611839614100</v>
      </c>
      <c r="B8035" t="str">
        <f>"LB4867"</f>
        <v>LB4867</v>
      </c>
      <c r="C8035" t="s">
        <v>7904</v>
      </c>
    </row>
    <row r="8036" spans="1:3" x14ac:dyDescent="0.25">
      <c r="A8036" t="str">
        <f>"0611839615100"</f>
        <v>0611839615100</v>
      </c>
      <c r="B8036" t="str">
        <f>"LB4869"</f>
        <v>LB4869</v>
      </c>
      <c r="C8036" t="s">
        <v>7905</v>
      </c>
    </row>
    <row r="8037" spans="1:3" x14ac:dyDescent="0.25">
      <c r="A8037" t="str">
        <f>"0611839617100"</f>
        <v>0611839617100</v>
      </c>
      <c r="B8037" t="str">
        <f>"LB4663"</f>
        <v>LB4663</v>
      </c>
      <c r="C8037" t="s">
        <v>7906</v>
      </c>
    </row>
    <row r="8038" spans="1:3" x14ac:dyDescent="0.25">
      <c r="A8038" t="str">
        <f>"0611839618100"</f>
        <v>0611839618100</v>
      </c>
      <c r="B8038" t="str">
        <f>"LB4864"</f>
        <v>LB4864</v>
      </c>
      <c r="C8038" t="s">
        <v>7907</v>
      </c>
    </row>
    <row r="8039" spans="1:3" x14ac:dyDescent="0.25">
      <c r="A8039" t="str">
        <f>"0611839619100"</f>
        <v>0611839619100</v>
      </c>
      <c r="B8039" t="str">
        <f>"LK5801"</f>
        <v>LK5801</v>
      </c>
      <c r="C8039" t="s">
        <v>7908</v>
      </c>
    </row>
    <row r="8040" spans="1:3" x14ac:dyDescent="0.25">
      <c r="A8040" t="str">
        <f>"0611839620100"</f>
        <v>0611839620100</v>
      </c>
      <c r="B8040" t="str">
        <f>"LK5802"</f>
        <v>LK5802</v>
      </c>
      <c r="C8040" t="s">
        <v>7909</v>
      </c>
    </row>
    <row r="8041" spans="1:3" x14ac:dyDescent="0.25">
      <c r="A8041" t="str">
        <f>"0611839621100"</f>
        <v>0611839621100</v>
      </c>
      <c r="B8041" t="str">
        <f>"LK5803"</f>
        <v>LK5803</v>
      </c>
      <c r="C8041" t="s">
        <v>7910</v>
      </c>
    </row>
    <row r="8042" spans="1:3" x14ac:dyDescent="0.25">
      <c r="A8042" t="str">
        <f>"0611839622100"</f>
        <v>0611839622100</v>
      </c>
      <c r="B8042" t="str">
        <f>"LK5804"</f>
        <v>LK5804</v>
      </c>
      <c r="C8042" t="s">
        <v>7911</v>
      </c>
    </row>
    <row r="8043" spans="1:3" x14ac:dyDescent="0.25">
      <c r="A8043" t="str">
        <f>"0611839623100"</f>
        <v>0611839623100</v>
      </c>
      <c r="B8043" t="str">
        <f>"LK5805"</f>
        <v>LK5805</v>
      </c>
      <c r="C8043" t="s">
        <v>7912</v>
      </c>
    </row>
    <row r="8044" spans="1:3" x14ac:dyDescent="0.25">
      <c r="A8044" t="str">
        <f>"0611839624100"</f>
        <v>0611839624100</v>
      </c>
      <c r="B8044" t="str">
        <f>"LK5806"</f>
        <v>LK5806</v>
      </c>
      <c r="C8044" t="s">
        <v>7913</v>
      </c>
    </row>
    <row r="8045" spans="1:3" x14ac:dyDescent="0.25">
      <c r="A8045" t="str">
        <f>"0611839625100"</f>
        <v>0611839625100</v>
      </c>
      <c r="B8045" t="str">
        <f>"LK5807"</f>
        <v>LK5807</v>
      </c>
      <c r="C8045" t="s">
        <v>7914</v>
      </c>
    </row>
    <row r="8046" spans="1:3" x14ac:dyDescent="0.25">
      <c r="A8046" t="str">
        <f>"0611839626100"</f>
        <v>0611839626100</v>
      </c>
      <c r="B8046" t="str">
        <f>"LK5808"</f>
        <v>LK5808</v>
      </c>
      <c r="C8046" t="s">
        <v>7915</v>
      </c>
    </row>
    <row r="8047" spans="1:3" x14ac:dyDescent="0.25">
      <c r="A8047" t="str">
        <f>"0611839627100"</f>
        <v>0611839627100</v>
      </c>
      <c r="B8047" t="str">
        <f>"LB4879"</f>
        <v>LB4879</v>
      </c>
      <c r="C8047" t="s">
        <v>7916</v>
      </c>
    </row>
    <row r="8048" spans="1:3" x14ac:dyDescent="0.25">
      <c r="A8048" t="str">
        <f>"0611839628100"</f>
        <v>0611839628100</v>
      </c>
      <c r="B8048" t="str">
        <f>"LK6647"</f>
        <v>LK6647</v>
      </c>
      <c r="C8048" t="s">
        <v>7917</v>
      </c>
    </row>
    <row r="8049" spans="1:3" x14ac:dyDescent="0.25">
      <c r="A8049" t="str">
        <f>"0611839629100"</f>
        <v>0611839629100</v>
      </c>
      <c r="B8049" t="str">
        <f>"LK0233"</f>
        <v>LK0233</v>
      </c>
      <c r="C8049" t="s">
        <v>7918</v>
      </c>
    </row>
    <row r="8050" spans="1:3" x14ac:dyDescent="0.25">
      <c r="A8050" t="str">
        <f>"0611839630100"</f>
        <v>0611839630100</v>
      </c>
      <c r="B8050" t="str">
        <f>"LK0801"</f>
        <v>LK0801</v>
      </c>
      <c r="C8050" t="s">
        <v>7919</v>
      </c>
    </row>
    <row r="8051" spans="1:3" x14ac:dyDescent="0.25">
      <c r="A8051" t="str">
        <f>"0611839631100"</f>
        <v>0611839631100</v>
      </c>
      <c r="B8051" t="str">
        <f>"LK0234"</f>
        <v>LK0234</v>
      </c>
      <c r="C8051" t="s">
        <v>7920</v>
      </c>
    </row>
    <row r="8052" spans="1:3" x14ac:dyDescent="0.25">
      <c r="A8052" t="str">
        <f>"0611839632100"</f>
        <v>0611839632100</v>
      </c>
      <c r="B8052" t="str">
        <f>"LK0235"</f>
        <v>LK0235</v>
      </c>
      <c r="C8052" t="s">
        <v>7921</v>
      </c>
    </row>
    <row r="8053" spans="1:3" x14ac:dyDescent="0.25">
      <c r="A8053" t="str">
        <f>"0611839633100"</f>
        <v>0611839633100</v>
      </c>
      <c r="B8053" t="str">
        <f>"LK0236"</f>
        <v>LK0236</v>
      </c>
      <c r="C8053" t="s">
        <v>7922</v>
      </c>
    </row>
    <row r="8054" spans="1:3" x14ac:dyDescent="0.25">
      <c r="A8054" t="str">
        <f>"0611839634100"</f>
        <v>0611839634100</v>
      </c>
      <c r="B8054" t="str">
        <f>"LB4881"</f>
        <v>LB4881</v>
      </c>
      <c r="C8054" t="s">
        <v>7923</v>
      </c>
    </row>
    <row r="8055" spans="1:3" x14ac:dyDescent="0.25">
      <c r="A8055" t="str">
        <f>"0611839635100"</f>
        <v>0611839635100</v>
      </c>
      <c r="B8055" t="str">
        <f>"LB4880"</f>
        <v>LB4880</v>
      </c>
      <c r="C8055" t="s">
        <v>7924</v>
      </c>
    </row>
    <row r="8056" spans="1:3" x14ac:dyDescent="0.25">
      <c r="A8056" t="str">
        <f>"0611839636100"</f>
        <v>0611839636100</v>
      </c>
      <c r="B8056" t="str">
        <f>"LB4882"</f>
        <v>LB4882</v>
      </c>
      <c r="C8056" t="s">
        <v>7925</v>
      </c>
    </row>
    <row r="8057" spans="1:3" x14ac:dyDescent="0.25">
      <c r="A8057" t="str">
        <f>"0611839637100"</f>
        <v>0611839637100</v>
      </c>
      <c r="B8057" t="str">
        <f>"LB4906"</f>
        <v>LB4906</v>
      </c>
      <c r="C8057" t="s">
        <v>7926</v>
      </c>
    </row>
    <row r="8058" spans="1:3" x14ac:dyDescent="0.25">
      <c r="A8058" t="str">
        <f>"0611839638100"</f>
        <v>0611839638100</v>
      </c>
      <c r="B8058" t="str">
        <f>"LB4903"</f>
        <v>LB4903</v>
      </c>
      <c r="C8058" t="s">
        <v>7927</v>
      </c>
    </row>
    <row r="8059" spans="1:3" x14ac:dyDescent="0.25">
      <c r="A8059" t="str">
        <f>"0611839639100"</f>
        <v>0611839639100</v>
      </c>
      <c r="B8059" t="str">
        <f>"LB4902"</f>
        <v>LB4902</v>
      </c>
      <c r="C8059" t="s">
        <v>7928</v>
      </c>
    </row>
    <row r="8060" spans="1:3" x14ac:dyDescent="0.25">
      <c r="A8060" t="str">
        <f>"0611839640100"</f>
        <v>0611839640100</v>
      </c>
      <c r="B8060" t="str">
        <f>"LB4900"</f>
        <v>LB4900</v>
      </c>
      <c r="C8060" t="s">
        <v>7929</v>
      </c>
    </row>
    <row r="8061" spans="1:3" x14ac:dyDescent="0.25">
      <c r="A8061" t="str">
        <f>"0611839641100"</f>
        <v>0611839641100</v>
      </c>
      <c r="B8061" t="str">
        <f>"LB4904"</f>
        <v>LB4904</v>
      </c>
      <c r="C8061" t="s">
        <v>7930</v>
      </c>
    </row>
    <row r="8062" spans="1:3" x14ac:dyDescent="0.25">
      <c r="A8062" t="str">
        <f>"0611839642100"</f>
        <v>0611839642100</v>
      </c>
      <c r="B8062" t="str">
        <f>"LB4907"</f>
        <v>LB4907</v>
      </c>
      <c r="C8062" t="s">
        <v>7931</v>
      </c>
    </row>
    <row r="8063" spans="1:3" x14ac:dyDescent="0.25">
      <c r="A8063" t="str">
        <f>"0611839643100"</f>
        <v>0611839643100</v>
      </c>
      <c r="B8063" t="str">
        <f>"LB4635"</f>
        <v>LB4635</v>
      </c>
      <c r="C8063" t="s">
        <v>7932</v>
      </c>
    </row>
    <row r="8064" spans="1:3" x14ac:dyDescent="0.25">
      <c r="A8064" t="str">
        <f>"0611839644100"</f>
        <v>0611839644100</v>
      </c>
      <c r="B8064" t="str">
        <f>"LB4595"</f>
        <v>LB4595</v>
      </c>
      <c r="C8064" t="s">
        <v>7933</v>
      </c>
    </row>
    <row r="8065" spans="1:3" x14ac:dyDescent="0.25">
      <c r="A8065" t="str">
        <f>"0611839645100"</f>
        <v>0611839645100</v>
      </c>
      <c r="B8065" t="str">
        <f>"LB4905"</f>
        <v>LB4905</v>
      </c>
      <c r="C8065" t="s">
        <v>7934</v>
      </c>
    </row>
    <row r="8066" spans="1:3" x14ac:dyDescent="0.25">
      <c r="A8066" t="str">
        <f>"0611839646100"</f>
        <v>0611839646100</v>
      </c>
      <c r="B8066" t="str">
        <f>"LK6084"</f>
        <v>LK6084</v>
      </c>
      <c r="C8066" t="s">
        <v>7935</v>
      </c>
    </row>
    <row r="8067" spans="1:3" x14ac:dyDescent="0.25">
      <c r="A8067" t="str">
        <f>"0611839647100"</f>
        <v>0611839647100</v>
      </c>
      <c r="B8067" t="str">
        <f>"LB4790"</f>
        <v>LB4790</v>
      </c>
      <c r="C8067" t="s">
        <v>7936</v>
      </c>
    </row>
    <row r="8068" spans="1:3" x14ac:dyDescent="0.25">
      <c r="A8068" t="str">
        <f>"0611839649100"</f>
        <v>0611839649100</v>
      </c>
      <c r="B8068" t="str">
        <f>"LK2672"</f>
        <v>LK2672</v>
      </c>
      <c r="C8068" t="s">
        <v>7937</v>
      </c>
    </row>
    <row r="8069" spans="1:3" x14ac:dyDescent="0.25">
      <c r="A8069" t="str">
        <f>"0611839650100"</f>
        <v>0611839650100</v>
      </c>
      <c r="B8069" t="str">
        <f>"LB5031"</f>
        <v>LB5031</v>
      </c>
      <c r="C8069" t="s">
        <v>7938</v>
      </c>
    </row>
    <row r="8070" spans="1:3" x14ac:dyDescent="0.25">
      <c r="A8070" t="str">
        <f>"0611839652100"</f>
        <v>0611839652100</v>
      </c>
      <c r="B8070" t="str">
        <f>"LB4948"</f>
        <v>LB4948</v>
      </c>
      <c r="C8070" t="s">
        <v>7939</v>
      </c>
    </row>
    <row r="8071" spans="1:3" x14ac:dyDescent="0.25">
      <c r="A8071" t="str">
        <f>"0611839653100"</f>
        <v>0611839653100</v>
      </c>
      <c r="B8071" t="str">
        <f>"LB4952"</f>
        <v>LB4952</v>
      </c>
      <c r="C8071" t="s">
        <v>7940</v>
      </c>
    </row>
    <row r="8072" spans="1:3" x14ac:dyDescent="0.25">
      <c r="A8072" t="str">
        <f>"0611839654100"</f>
        <v>0611839654100</v>
      </c>
      <c r="B8072" t="str">
        <f>"LB4960"</f>
        <v>LB4960</v>
      </c>
      <c r="C8072" t="s">
        <v>7941</v>
      </c>
    </row>
    <row r="8073" spans="1:3" x14ac:dyDescent="0.25">
      <c r="A8073" t="str">
        <f>"0611839655100"</f>
        <v>0611839655100</v>
      </c>
      <c r="B8073" t="str">
        <f>"LK6753"</f>
        <v>LK6753</v>
      </c>
      <c r="C8073" t="s">
        <v>7942</v>
      </c>
    </row>
    <row r="8074" spans="1:3" x14ac:dyDescent="0.25">
      <c r="A8074" t="str">
        <f>"0611839656100"</f>
        <v>0611839656100</v>
      </c>
      <c r="B8074" t="str">
        <f>"LK6754"</f>
        <v>LK6754</v>
      </c>
      <c r="C8074" t="s">
        <v>7943</v>
      </c>
    </row>
    <row r="8075" spans="1:3" x14ac:dyDescent="0.25">
      <c r="A8075" t="str">
        <f>"0611839657100"</f>
        <v>0611839657100</v>
      </c>
      <c r="B8075" t="str">
        <f>"LB4622"</f>
        <v>LB4622</v>
      </c>
      <c r="C8075" t="s">
        <v>7944</v>
      </c>
    </row>
    <row r="8076" spans="1:3" x14ac:dyDescent="0.25">
      <c r="A8076" t="str">
        <f>"0611839658100"</f>
        <v>0611839658100</v>
      </c>
      <c r="B8076" t="str">
        <f>"LB4637"</f>
        <v>LB4637</v>
      </c>
      <c r="C8076" t="s">
        <v>7945</v>
      </c>
    </row>
    <row r="8077" spans="1:3" x14ac:dyDescent="0.25">
      <c r="A8077" t="str">
        <f>"0611839659100"</f>
        <v>0611839659100</v>
      </c>
      <c r="B8077" t="str">
        <f>"LB4638"</f>
        <v>LB4638</v>
      </c>
      <c r="C8077" t="s">
        <v>7946</v>
      </c>
    </row>
    <row r="8078" spans="1:3" x14ac:dyDescent="0.25">
      <c r="A8078" t="str">
        <f>"0611839660100"</f>
        <v>0611839660100</v>
      </c>
      <c r="B8078" t="str">
        <f>"LB4676"</f>
        <v>LB4676</v>
      </c>
      <c r="C8078" t="s">
        <v>7947</v>
      </c>
    </row>
    <row r="8079" spans="1:3" x14ac:dyDescent="0.25">
      <c r="A8079" t="str">
        <f>"0611839661100"</f>
        <v>0611839661100</v>
      </c>
      <c r="B8079" t="str">
        <f>"LB4639"</f>
        <v>LB4639</v>
      </c>
      <c r="C8079" t="s">
        <v>7948</v>
      </c>
    </row>
    <row r="8080" spans="1:3" x14ac:dyDescent="0.25">
      <c r="A8080" t="str">
        <f>"0611839662100"</f>
        <v>0611839662100</v>
      </c>
      <c r="B8080" t="str">
        <f>"LB4624"</f>
        <v>LB4624</v>
      </c>
      <c r="C8080" t="s">
        <v>7949</v>
      </c>
    </row>
    <row r="8081" spans="1:3" x14ac:dyDescent="0.25">
      <c r="A8081" t="str">
        <f>"0611839663100"</f>
        <v>0611839663100</v>
      </c>
      <c r="B8081" t="str">
        <f>"LB4970"</f>
        <v>LB4970</v>
      </c>
      <c r="C8081" t="s">
        <v>7950</v>
      </c>
    </row>
    <row r="8082" spans="1:3" x14ac:dyDescent="0.25">
      <c r="A8082" t="str">
        <f>"0611839664100"</f>
        <v>0611839664100</v>
      </c>
      <c r="B8082" t="str">
        <f>"LB4966"</f>
        <v>LB4966</v>
      </c>
      <c r="C8082" t="s">
        <v>7951</v>
      </c>
    </row>
    <row r="8083" spans="1:3" x14ac:dyDescent="0.25">
      <c r="A8083" t="str">
        <f>"0611839665100"</f>
        <v>0611839665100</v>
      </c>
      <c r="B8083" t="str">
        <f>"LK6913"</f>
        <v>LK6913</v>
      </c>
      <c r="C8083" t="s">
        <v>7952</v>
      </c>
    </row>
    <row r="8084" spans="1:3" x14ac:dyDescent="0.25">
      <c r="A8084" t="str">
        <f>"0611839666100"</f>
        <v>0611839666100</v>
      </c>
      <c r="B8084" t="str">
        <f>"LK6914"</f>
        <v>LK6914</v>
      </c>
      <c r="C8084" t="s">
        <v>7953</v>
      </c>
    </row>
    <row r="8085" spans="1:3" x14ac:dyDescent="0.25">
      <c r="A8085" t="str">
        <f>"0611839667100"</f>
        <v>0611839667100</v>
      </c>
      <c r="B8085" t="str">
        <f>"LK6915"</f>
        <v>LK6915</v>
      </c>
      <c r="C8085" t="s">
        <v>7954</v>
      </c>
    </row>
    <row r="8086" spans="1:3" x14ac:dyDescent="0.25">
      <c r="A8086" t="str">
        <f>"0611839668100"</f>
        <v>0611839668100</v>
      </c>
      <c r="B8086" t="str">
        <f>"LK6916"</f>
        <v>LK6916</v>
      </c>
      <c r="C8086" t="s">
        <v>7955</v>
      </c>
    </row>
    <row r="8087" spans="1:3" x14ac:dyDescent="0.25">
      <c r="A8087" t="str">
        <f>"0611839669100"</f>
        <v>0611839669100</v>
      </c>
      <c r="B8087" t="str">
        <f>"LB4688"</f>
        <v>LB4688</v>
      </c>
      <c r="C8087" t="s">
        <v>7956</v>
      </c>
    </row>
    <row r="8088" spans="1:3" x14ac:dyDescent="0.25">
      <c r="A8088" t="str">
        <f>"0611839670100"</f>
        <v>0611839670100</v>
      </c>
      <c r="B8088" t="str">
        <f>"LB4967"</f>
        <v>LB4967</v>
      </c>
      <c r="C8088" t="s">
        <v>7957</v>
      </c>
    </row>
    <row r="8089" spans="1:3" x14ac:dyDescent="0.25">
      <c r="A8089" t="str">
        <f>"0611839671100"</f>
        <v>0611839671100</v>
      </c>
      <c r="B8089" t="str">
        <f>"LB4968"</f>
        <v>LB4968</v>
      </c>
      <c r="C8089" t="s">
        <v>7958</v>
      </c>
    </row>
    <row r="8090" spans="1:3" x14ac:dyDescent="0.25">
      <c r="A8090" t="str">
        <f>"0611839675100"</f>
        <v>0611839675100</v>
      </c>
      <c r="B8090" t="str">
        <f>"LK1624"</f>
        <v>LK1624</v>
      </c>
      <c r="C8090" t="s">
        <v>7959</v>
      </c>
    </row>
    <row r="8091" spans="1:3" x14ac:dyDescent="0.25">
      <c r="A8091" t="str">
        <f>"0611839676100"</f>
        <v>0611839676100</v>
      </c>
      <c r="B8091" t="str">
        <f>"LK1522"</f>
        <v>LK1522</v>
      </c>
      <c r="C8091" t="s">
        <v>7960</v>
      </c>
    </row>
    <row r="8092" spans="1:3" x14ac:dyDescent="0.25">
      <c r="A8092" t="str">
        <f>"0611839677100"</f>
        <v>0611839677100</v>
      </c>
      <c r="B8092" t="str">
        <f>"LK0237"</f>
        <v>LK0237</v>
      </c>
      <c r="C8092" t="s">
        <v>7961</v>
      </c>
    </row>
    <row r="8093" spans="1:3" x14ac:dyDescent="0.25">
      <c r="A8093" t="str">
        <f>"0611839680100"</f>
        <v>0611839680100</v>
      </c>
      <c r="B8093" t="str">
        <f>"LS0083"</f>
        <v>LS0083</v>
      </c>
      <c r="C8093" t="s">
        <v>7963</v>
      </c>
    </row>
    <row r="8094" spans="1:3" x14ac:dyDescent="0.25">
      <c r="A8094" t="str">
        <f>"0611839679100"</f>
        <v>0611839679100</v>
      </c>
      <c r="B8094" t="str">
        <f>"LB5025"</f>
        <v>LB5025</v>
      </c>
      <c r="C8094" t="s">
        <v>7962</v>
      </c>
    </row>
    <row r="8095" spans="1:3" x14ac:dyDescent="0.25">
      <c r="A8095" t="str">
        <f>"0611839682100"</f>
        <v>0611839682100</v>
      </c>
      <c r="B8095" t="str">
        <f>"LB5058"</f>
        <v>LB5058</v>
      </c>
      <c r="C8095" t="s">
        <v>7964</v>
      </c>
    </row>
    <row r="8096" spans="1:3" x14ac:dyDescent="0.25">
      <c r="A8096" t="str">
        <f>"0611839683100"</f>
        <v>0611839683100</v>
      </c>
      <c r="B8096" t="str">
        <f>"LB5059"</f>
        <v>LB5059</v>
      </c>
      <c r="C8096" t="s">
        <v>7965</v>
      </c>
    </row>
    <row r="8097" spans="1:3" x14ac:dyDescent="0.25">
      <c r="A8097" t="str">
        <f>"0611839684100"</f>
        <v>0611839684100</v>
      </c>
      <c r="B8097" t="str">
        <f>"LK5809"</f>
        <v>LK5809</v>
      </c>
      <c r="C8097" t="s">
        <v>7966</v>
      </c>
    </row>
    <row r="8098" spans="1:3" x14ac:dyDescent="0.25">
      <c r="A8098" t="str">
        <f>"0611839685100"</f>
        <v>0611839685100</v>
      </c>
      <c r="B8098" t="str">
        <f>"LK5810"</f>
        <v>LK5810</v>
      </c>
      <c r="C8098" t="s">
        <v>7967</v>
      </c>
    </row>
    <row r="8099" spans="1:3" x14ac:dyDescent="0.25">
      <c r="A8099" t="str">
        <f>"0611839686100"</f>
        <v>0611839686100</v>
      </c>
      <c r="B8099" t="str">
        <f>"LK5811"</f>
        <v>LK5811</v>
      </c>
      <c r="C8099" t="s">
        <v>7968</v>
      </c>
    </row>
    <row r="8100" spans="1:3" x14ac:dyDescent="0.25">
      <c r="A8100" t="str">
        <f>"0611839687100"</f>
        <v>0611839687100</v>
      </c>
      <c r="B8100" t="str">
        <f>"LK5812"</f>
        <v>LK5812</v>
      </c>
      <c r="C8100" t="s">
        <v>7969</v>
      </c>
    </row>
    <row r="8101" spans="1:3" x14ac:dyDescent="0.25">
      <c r="A8101" t="str">
        <f>"0611839688100"</f>
        <v>0611839688100</v>
      </c>
      <c r="B8101" t="str">
        <f>"LS0084"</f>
        <v>LS0084</v>
      </c>
      <c r="C8101" t="s">
        <v>7970</v>
      </c>
    </row>
    <row r="8102" spans="1:3" x14ac:dyDescent="0.25">
      <c r="A8102" t="str">
        <f>"0611839689100"</f>
        <v>0611839689100</v>
      </c>
      <c r="B8102" t="str">
        <f>"LB4641"</f>
        <v>LB4641</v>
      </c>
      <c r="C8102" t="s">
        <v>7971</v>
      </c>
    </row>
    <row r="8103" spans="1:3" x14ac:dyDescent="0.25">
      <c r="A8103" t="str">
        <f>"0611839690100"</f>
        <v>0611839690100</v>
      </c>
      <c r="B8103" t="str">
        <f>"LB4642"</f>
        <v>LB4642</v>
      </c>
      <c r="C8103" t="s">
        <v>7972</v>
      </c>
    </row>
    <row r="8104" spans="1:3" x14ac:dyDescent="0.25">
      <c r="A8104" t="str">
        <f>"0611839691100"</f>
        <v>0611839691100</v>
      </c>
      <c r="B8104" t="str">
        <f>"LB4643"</f>
        <v>LB4643</v>
      </c>
      <c r="C8104" t="s">
        <v>7973</v>
      </c>
    </row>
    <row r="8105" spans="1:3" x14ac:dyDescent="0.25">
      <c r="A8105" t="str">
        <f>"0611839692100"</f>
        <v>0611839692100</v>
      </c>
      <c r="B8105" t="str">
        <f>"LB4644"</f>
        <v>LB4644</v>
      </c>
      <c r="C8105" t="s">
        <v>7974</v>
      </c>
    </row>
    <row r="8106" spans="1:3" x14ac:dyDescent="0.25">
      <c r="A8106" t="str">
        <f>"0611839693100"</f>
        <v>0611839693100</v>
      </c>
      <c r="B8106" t="str">
        <f>"LB5178"</f>
        <v>LB5178</v>
      </c>
      <c r="C8106" t="s">
        <v>7975</v>
      </c>
    </row>
    <row r="8107" spans="1:3" x14ac:dyDescent="0.25">
      <c r="A8107" t="str">
        <f>"0611839694100"</f>
        <v>0611839694100</v>
      </c>
      <c r="B8107" t="str">
        <f>"LB4645"</f>
        <v>LB4645</v>
      </c>
      <c r="C8107" t="s">
        <v>7976</v>
      </c>
    </row>
    <row r="8108" spans="1:3" x14ac:dyDescent="0.25">
      <c r="A8108" t="str">
        <f>"0611839695100"</f>
        <v>0611839695100</v>
      </c>
      <c r="B8108" t="str">
        <f>"LB4647"</f>
        <v>LB4647</v>
      </c>
      <c r="C8108" t="s">
        <v>7977</v>
      </c>
    </row>
    <row r="8109" spans="1:3" x14ac:dyDescent="0.25">
      <c r="A8109" t="str">
        <f>"0611839696100"</f>
        <v>0611839696100</v>
      </c>
      <c r="B8109" t="str">
        <f>"LB5179"</f>
        <v>LB5179</v>
      </c>
      <c r="C8109" t="s">
        <v>7978</v>
      </c>
    </row>
    <row r="8110" spans="1:3" x14ac:dyDescent="0.25">
      <c r="A8110" t="str">
        <f>"0611839697100"</f>
        <v>0611839697100</v>
      </c>
      <c r="B8110" t="str">
        <f>"LB4646"</f>
        <v>LB4646</v>
      </c>
      <c r="C8110" t="s">
        <v>7979</v>
      </c>
    </row>
    <row r="8111" spans="1:3" x14ac:dyDescent="0.25">
      <c r="A8111" t="str">
        <f>"0611839698100"</f>
        <v>0611839698100</v>
      </c>
      <c r="B8111" t="str">
        <f>"LB5180"</f>
        <v>LB5180</v>
      </c>
      <c r="C8111" t="s">
        <v>7980</v>
      </c>
    </row>
    <row r="8112" spans="1:3" x14ac:dyDescent="0.25">
      <c r="A8112" t="str">
        <f>"0611839699100"</f>
        <v>0611839699100</v>
      </c>
      <c r="B8112" t="str">
        <f>"LK1280"</f>
        <v>LK1280</v>
      </c>
      <c r="C8112" t="s">
        <v>7981</v>
      </c>
    </row>
    <row r="8113" spans="1:3" x14ac:dyDescent="0.25">
      <c r="A8113" t="str">
        <f>"0611906849100"</f>
        <v>0611906849100</v>
      </c>
      <c r="B8113" t="str">
        <f>"LK7217"</f>
        <v>LK7217</v>
      </c>
      <c r="C8113" t="s">
        <v>7982</v>
      </c>
    </row>
    <row r="8114" spans="1:3" x14ac:dyDescent="0.25">
      <c r="A8114" t="str">
        <f>"0611839701100"</f>
        <v>0611839701100</v>
      </c>
      <c r="B8114" t="str">
        <f>"LB5120"</f>
        <v>LB5120</v>
      </c>
      <c r="C8114" t="s">
        <v>7983</v>
      </c>
    </row>
    <row r="8115" spans="1:3" x14ac:dyDescent="0.25">
      <c r="A8115" t="str">
        <f>"0611839702100"</f>
        <v>0611839702100</v>
      </c>
      <c r="B8115" t="str">
        <f>"LK6087"</f>
        <v>LK6087</v>
      </c>
      <c r="C8115" t="s">
        <v>7984</v>
      </c>
    </row>
    <row r="8116" spans="1:3" x14ac:dyDescent="0.25">
      <c r="A8116" t="str">
        <f>"0611839703100"</f>
        <v>0611839703100</v>
      </c>
      <c r="B8116" t="str">
        <f>"LK6394"</f>
        <v>LK6394</v>
      </c>
      <c r="C8116" t="s">
        <v>7985</v>
      </c>
    </row>
    <row r="8117" spans="1:3" x14ac:dyDescent="0.25">
      <c r="A8117" t="str">
        <f>"0611839704100"</f>
        <v>0611839704100</v>
      </c>
      <c r="B8117" t="str">
        <f>"LK7015"</f>
        <v>LK7015</v>
      </c>
      <c r="C8117" t="s">
        <v>7986</v>
      </c>
    </row>
    <row r="8118" spans="1:3" x14ac:dyDescent="0.25">
      <c r="A8118" t="str">
        <f>"0611839705100"</f>
        <v>0611839705100</v>
      </c>
      <c r="B8118" t="str">
        <f>"LK7014"</f>
        <v>LK7014</v>
      </c>
      <c r="C8118" t="s">
        <v>7987</v>
      </c>
    </row>
    <row r="8119" spans="1:3" x14ac:dyDescent="0.25">
      <c r="A8119" t="str">
        <f>"0611839706100"</f>
        <v>0611839706100</v>
      </c>
      <c r="B8119" t="str">
        <f>"LK6395"</f>
        <v>LK6395</v>
      </c>
      <c r="C8119" t="s">
        <v>7988</v>
      </c>
    </row>
    <row r="8120" spans="1:3" x14ac:dyDescent="0.25">
      <c r="A8120" t="str">
        <f>"0611839707100"</f>
        <v>0611839707100</v>
      </c>
      <c r="B8120" t="str">
        <f>"LK6396"</f>
        <v>LK6396</v>
      </c>
      <c r="C8120" t="s">
        <v>7989</v>
      </c>
    </row>
    <row r="8121" spans="1:3" x14ac:dyDescent="0.25">
      <c r="A8121" t="str">
        <f>"0611839708100"</f>
        <v>0611839708100</v>
      </c>
      <c r="B8121" t="str">
        <f>"LK6397"</f>
        <v>LK6397</v>
      </c>
      <c r="C8121" t="s">
        <v>7990</v>
      </c>
    </row>
    <row r="8122" spans="1:3" x14ac:dyDescent="0.25">
      <c r="A8122" t="str">
        <f>"0611839709100"</f>
        <v>0611839709100</v>
      </c>
      <c r="B8122" t="str">
        <f>"LK6398"</f>
        <v>LK6398</v>
      </c>
      <c r="C8122" t="s">
        <v>7991</v>
      </c>
    </row>
    <row r="8123" spans="1:3" x14ac:dyDescent="0.25">
      <c r="A8123" t="str">
        <f>"0611839710100"</f>
        <v>0611839710100</v>
      </c>
      <c r="B8123" t="str">
        <f>"LK6399"</f>
        <v>LK6399</v>
      </c>
      <c r="C8123" t="s">
        <v>7992</v>
      </c>
    </row>
    <row r="8124" spans="1:3" x14ac:dyDescent="0.25">
      <c r="A8124" t="str">
        <f>"0611839711100"</f>
        <v>0611839711100</v>
      </c>
      <c r="B8124" t="str">
        <f>"LK6336"</f>
        <v>LK6336</v>
      </c>
      <c r="C8124" t="s">
        <v>7993</v>
      </c>
    </row>
    <row r="8125" spans="1:3" x14ac:dyDescent="0.25">
      <c r="A8125" t="str">
        <f>"0611839712100"</f>
        <v>0611839712100</v>
      </c>
      <c r="B8125" t="str">
        <f>"LK6400"</f>
        <v>LK6400</v>
      </c>
      <c r="C8125" t="s">
        <v>7994</v>
      </c>
    </row>
    <row r="8126" spans="1:3" x14ac:dyDescent="0.25">
      <c r="A8126" t="str">
        <f>"0611839713100"</f>
        <v>0611839713100</v>
      </c>
      <c r="B8126" t="str">
        <f>"LK6401"</f>
        <v>LK6401</v>
      </c>
      <c r="C8126" t="s">
        <v>7995</v>
      </c>
    </row>
    <row r="8127" spans="1:3" x14ac:dyDescent="0.25">
      <c r="A8127" t="str">
        <f>"0611839714100"</f>
        <v>0611839714100</v>
      </c>
      <c r="B8127" t="str">
        <f>"LB4795"</f>
        <v>LB4795</v>
      </c>
      <c r="C8127" t="s">
        <v>7996</v>
      </c>
    </row>
    <row r="8128" spans="1:3" x14ac:dyDescent="0.25">
      <c r="A8128" t="str">
        <f>"0611839715100"</f>
        <v>0611839715100</v>
      </c>
      <c r="B8128" t="str">
        <f>"LK3873"</f>
        <v>LK3873</v>
      </c>
      <c r="C8128" t="s">
        <v>7997</v>
      </c>
    </row>
    <row r="8129" spans="1:3" x14ac:dyDescent="0.25">
      <c r="A8129" t="str">
        <f>"0611839716100"</f>
        <v>0611839716100</v>
      </c>
      <c r="B8129" t="str">
        <f>"LK4423"</f>
        <v>LK4423</v>
      </c>
      <c r="C8129" t="s">
        <v>7998</v>
      </c>
    </row>
    <row r="8130" spans="1:3" x14ac:dyDescent="0.25">
      <c r="A8130" t="str">
        <f>"0611839717100"</f>
        <v>0611839717100</v>
      </c>
      <c r="B8130" t="str">
        <f>"LK4408"</f>
        <v>LK4408</v>
      </c>
      <c r="C8130" t="s">
        <v>7999</v>
      </c>
    </row>
    <row r="8131" spans="1:3" x14ac:dyDescent="0.25">
      <c r="A8131" t="str">
        <f>"0611839718100"</f>
        <v>0611839718100</v>
      </c>
      <c r="B8131" t="str">
        <f>"LK3874"</f>
        <v>LK3874</v>
      </c>
      <c r="C8131" t="s">
        <v>8000</v>
      </c>
    </row>
    <row r="8132" spans="1:3" x14ac:dyDescent="0.25">
      <c r="A8132" t="str">
        <f>"0611839719100"</f>
        <v>0611839719100</v>
      </c>
      <c r="B8132" t="str">
        <f>"LK4409"</f>
        <v>LK4409</v>
      </c>
      <c r="C8132" t="s">
        <v>8001</v>
      </c>
    </row>
    <row r="8133" spans="1:3" x14ac:dyDescent="0.25">
      <c r="A8133" t="str">
        <f>"0611839720100"</f>
        <v>0611839720100</v>
      </c>
      <c r="B8133" t="str">
        <f>"LB5036"</f>
        <v>LB5036</v>
      </c>
      <c r="C8133" t="s">
        <v>8002</v>
      </c>
    </row>
    <row r="8134" spans="1:3" x14ac:dyDescent="0.25">
      <c r="A8134" t="str">
        <f>"0611839721100"</f>
        <v>0611839721100</v>
      </c>
      <c r="B8134" t="str">
        <f>"LB5380"</f>
        <v>LB5380</v>
      </c>
      <c r="C8134" t="s">
        <v>8003</v>
      </c>
    </row>
    <row r="8135" spans="1:3" x14ac:dyDescent="0.25">
      <c r="A8135" t="str">
        <f>"0611839723100"</f>
        <v>0611839723100</v>
      </c>
      <c r="B8135" t="str">
        <f>"LK3399"</f>
        <v>LK3399</v>
      </c>
      <c r="C8135" t="s">
        <v>8004</v>
      </c>
    </row>
    <row r="8136" spans="1:3" x14ac:dyDescent="0.25">
      <c r="A8136" t="str">
        <f>"0611839724100"</f>
        <v>0611839724100</v>
      </c>
      <c r="B8136" t="str">
        <f>"LS0079"</f>
        <v>LS0079</v>
      </c>
      <c r="C8136" t="s">
        <v>8005</v>
      </c>
    </row>
    <row r="8137" spans="1:3" x14ac:dyDescent="0.25">
      <c r="A8137" t="str">
        <f>"0611839725100"</f>
        <v>0611839725100</v>
      </c>
      <c r="B8137" t="str">
        <f>"LS0085"</f>
        <v>LS0085</v>
      </c>
      <c r="C8137" t="s">
        <v>8007</v>
      </c>
    </row>
    <row r="8138" spans="1:3" x14ac:dyDescent="0.25">
      <c r="A8138" t="str">
        <f>"0611839727100"</f>
        <v>0611839727100</v>
      </c>
      <c r="B8138" t="str">
        <f>"LB5358"</f>
        <v>LB5358</v>
      </c>
      <c r="C8138" t="s">
        <v>8006</v>
      </c>
    </row>
    <row r="8139" spans="1:3" x14ac:dyDescent="0.25">
      <c r="A8139" t="str">
        <f>"0611839728100"</f>
        <v>0611839728100</v>
      </c>
      <c r="B8139" t="str">
        <f>"LK7016"</f>
        <v>LK7016</v>
      </c>
      <c r="C8139" t="s">
        <v>8008</v>
      </c>
    </row>
    <row r="8140" spans="1:3" x14ac:dyDescent="0.25">
      <c r="A8140" t="str">
        <f>"0611839729100"</f>
        <v>0611839729100</v>
      </c>
      <c r="B8140" t="str">
        <f>"LB5346"</f>
        <v>LB5346</v>
      </c>
      <c r="C8140" t="s">
        <v>8009</v>
      </c>
    </row>
    <row r="8141" spans="1:3" x14ac:dyDescent="0.25">
      <c r="A8141" t="str">
        <f>"0611839730100"</f>
        <v>0611839730100</v>
      </c>
      <c r="B8141" t="str">
        <f>"LB5341"</f>
        <v>LB5341</v>
      </c>
      <c r="C8141" t="s">
        <v>8010</v>
      </c>
    </row>
    <row r="8142" spans="1:3" x14ac:dyDescent="0.25">
      <c r="A8142" t="str">
        <f>"0611839731100"</f>
        <v>0611839731100</v>
      </c>
      <c r="B8142" t="str">
        <f>"LB5342"</f>
        <v>LB5342</v>
      </c>
      <c r="C8142" t="s">
        <v>8011</v>
      </c>
    </row>
    <row r="8143" spans="1:3" x14ac:dyDescent="0.25">
      <c r="A8143" t="str">
        <f>"0611839732100"</f>
        <v>0611839732100</v>
      </c>
      <c r="B8143" t="str">
        <f>"LB4720"</f>
        <v>LB4720</v>
      </c>
      <c r="C8143" t="s">
        <v>8012</v>
      </c>
    </row>
    <row r="8144" spans="1:3" x14ac:dyDescent="0.25">
      <c r="A8144" t="str">
        <f>"0611839733100"</f>
        <v>0611839733100</v>
      </c>
      <c r="B8144" t="str">
        <f>"LK7017"</f>
        <v>LK7017</v>
      </c>
      <c r="C8144" t="s">
        <v>8013</v>
      </c>
    </row>
    <row r="8145" spans="1:3" x14ac:dyDescent="0.25">
      <c r="A8145" t="str">
        <f>"0611839734100"</f>
        <v>0611839734100</v>
      </c>
      <c r="B8145" t="str">
        <f>"LK3613"</f>
        <v>LK3613</v>
      </c>
      <c r="C8145" t="s">
        <v>8014</v>
      </c>
    </row>
    <row r="8146" spans="1:3" x14ac:dyDescent="0.25">
      <c r="A8146" t="str">
        <f>"0611839735100"</f>
        <v>0611839735100</v>
      </c>
      <c r="B8146" t="str">
        <f>"LB5345"</f>
        <v>LB5345</v>
      </c>
      <c r="C8146" t="s">
        <v>8015</v>
      </c>
    </row>
    <row r="8147" spans="1:3" x14ac:dyDescent="0.25">
      <c r="A8147" t="str">
        <f>"0611837057100"</f>
        <v>0611837057100</v>
      </c>
      <c r="B8147" t="str">
        <f>"LC7625"</f>
        <v>LC7625</v>
      </c>
      <c r="C8147" t="s">
        <v>8016</v>
      </c>
    </row>
    <row r="8148" spans="1:3" x14ac:dyDescent="0.25">
      <c r="A8148" t="str">
        <f>"0611837046100"</f>
        <v>0611837046100</v>
      </c>
      <c r="B8148" t="str">
        <f>"LC7627"</f>
        <v>LC7627</v>
      </c>
      <c r="C8148" t="s">
        <v>8017</v>
      </c>
    </row>
    <row r="8149" spans="1:3" x14ac:dyDescent="0.25">
      <c r="A8149" t="str">
        <f>"0611837062100"</f>
        <v>0611837062100</v>
      </c>
      <c r="B8149" t="str">
        <f>"LC3387"</f>
        <v>LC3387</v>
      </c>
      <c r="C8149" t="s">
        <v>8018</v>
      </c>
    </row>
    <row r="8150" spans="1:3" x14ac:dyDescent="0.25">
      <c r="A8150" t="str">
        <f>"0611837063025"</f>
        <v>0611837063025</v>
      </c>
      <c r="B8150" t="str">
        <f>"MC0796"</f>
        <v>MC0796</v>
      </c>
      <c r="C8150" t="s">
        <v>8019</v>
      </c>
    </row>
    <row r="8151" spans="1:3" x14ac:dyDescent="0.25">
      <c r="A8151" t="str">
        <f>"0611862533100"</f>
        <v>0611862533100</v>
      </c>
      <c r="B8151" t="str">
        <f>"CN5274"</f>
        <v>CN5274</v>
      </c>
      <c r="C8151" t="s">
        <v>13909</v>
      </c>
    </row>
    <row r="8152" spans="1:3" x14ac:dyDescent="0.25">
      <c r="A8152" t="str">
        <f>"0611837064100"</f>
        <v>0611837064100</v>
      </c>
      <c r="B8152" t="str">
        <f>"LC9623"</f>
        <v>LC9623</v>
      </c>
      <c r="C8152" t="s">
        <v>8020</v>
      </c>
    </row>
    <row r="8153" spans="1:3" x14ac:dyDescent="0.25">
      <c r="A8153" t="str">
        <f>"0611884320025"</f>
        <v>0611884320025</v>
      </c>
      <c r="B8153" t="str">
        <f>"MC4476"</f>
        <v>MC4476</v>
      </c>
      <c r="C8153" t="s">
        <v>8021</v>
      </c>
    </row>
    <row r="8154" spans="1:3" x14ac:dyDescent="0.25">
      <c r="A8154" t="str">
        <f>"0611906850025"</f>
        <v>0611906850025</v>
      </c>
      <c r="B8154" t="str">
        <f>"MC2288"</f>
        <v>MC2288</v>
      </c>
      <c r="C8154" t="s">
        <v>8022</v>
      </c>
    </row>
    <row r="8155" spans="1:3" x14ac:dyDescent="0.25">
      <c r="A8155" t="str">
        <f>"0611863289100"</f>
        <v>0611863289100</v>
      </c>
      <c r="B8155" t="str">
        <f>"CN5257"</f>
        <v>CN5257</v>
      </c>
      <c r="C8155" t="s">
        <v>8023</v>
      </c>
    </row>
    <row r="8156" spans="1:3" x14ac:dyDescent="0.25">
      <c r="A8156" t="str">
        <f>"0611836745025"</f>
        <v>0611836745025</v>
      </c>
      <c r="B8156" t="str">
        <f>"MC1294"</f>
        <v>MC1294</v>
      </c>
      <c r="C8156" t="s">
        <v>8024</v>
      </c>
    </row>
    <row r="8157" spans="1:3" x14ac:dyDescent="0.25">
      <c r="A8157" t="str">
        <f>"0611836746100"</f>
        <v>0611836746100</v>
      </c>
      <c r="B8157" t="str">
        <f>"LQ6070"</f>
        <v>LQ6070</v>
      </c>
      <c r="C8157" t="s">
        <v>8025</v>
      </c>
    </row>
    <row r="8158" spans="1:3" x14ac:dyDescent="0.25">
      <c r="A8158" t="str">
        <f>"0611857033100"</f>
        <v>0611857033100</v>
      </c>
      <c r="B8158" t="str">
        <f>"LQ3872"</f>
        <v>LQ3872</v>
      </c>
      <c r="C8158" t="s">
        <v>8026</v>
      </c>
    </row>
    <row r="8159" spans="1:3" x14ac:dyDescent="0.25">
      <c r="A8159" t="str">
        <f>"0611836747100"</f>
        <v>0611836747100</v>
      </c>
      <c r="B8159" t="str">
        <f>"LQ3279"</f>
        <v>LQ3279</v>
      </c>
      <c r="C8159" t="s">
        <v>8027</v>
      </c>
    </row>
    <row r="8160" spans="1:3" x14ac:dyDescent="0.25">
      <c r="A8160" t="str">
        <f>"0611836749100"</f>
        <v>0611836749100</v>
      </c>
      <c r="B8160" t="str">
        <f>"LK2608"</f>
        <v>LK2608</v>
      </c>
      <c r="C8160" t="s">
        <v>8028</v>
      </c>
    </row>
    <row r="8161" spans="1:3" x14ac:dyDescent="0.25">
      <c r="A8161" t="str">
        <f>"0611836750100"</f>
        <v>0611836750100</v>
      </c>
      <c r="B8161" t="str">
        <f>"LB5416"</f>
        <v>LB5416</v>
      </c>
      <c r="C8161" t="s">
        <v>8029</v>
      </c>
    </row>
    <row r="8162" spans="1:3" x14ac:dyDescent="0.25">
      <c r="A8162" t="str">
        <f>"0611836753100"</f>
        <v>0611836753100</v>
      </c>
      <c r="B8162" t="str">
        <f>"LB5417"</f>
        <v>LB5417</v>
      </c>
      <c r="C8162" t="s">
        <v>8030</v>
      </c>
    </row>
    <row r="8163" spans="1:3" x14ac:dyDescent="0.25">
      <c r="A8163" t="str">
        <f>"0611836751100"</f>
        <v>0611836751100</v>
      </c>
      <c r="B8163" t="str">
        <f>"LK6088"</f>
        <v>LK6088</v>
      </c>
      <c r="C8163" t="s">
        <v>8031</v>
      </c>
    </row>
    <row r="8164" spans="1:3" x14ac:dyDescent="0.25">
      <c r="A8164" t="str">
        <f>"0611836752100"</f>
        <v>0611836752100</v>
      </c>
      <c r="B8164" t="str">
        <f>"LK0802"</f>
        <v>LK0802</v>
      </c>
      <c r="C8164" t="s">
        <v>8032</v>
      </c>
    </row>
    <row r="8165" spans="1:3" x14ac:dyDescent="0.25">
      <c r="A8165" t="str">
        <f>"0611836754100"</f>
        <v>0611836754100</v>
      </c>
      <c r="B8165" t="str">
        <f>"LB5415"</f>
        <v>LB5415</v>
      </c>
      <c r="C8165" t="s">
        <v>8033</v>
      </c>
    </row>
    <row r="8166" spans="1:3" x14ac:dyDescent="0.25">
      <c r="A8166" t="str">
        <f>"0611836755100"</f>
        <v>0611836755100</v>
      </c>
      <c r="B8166" t="str">
        <f>"LB5418"</f>
        <v>LB5418</v>
      </c>
      <c r="C8166" t="s">
        <v>8034</v>
      </c>
    </row>
    <row r="8167" spans="1:3" x14ac:dyDescent="0.25">
      <c r="A8167" t="str">
        <f>"0611836756100"</f>
        <v>0611836756100</v>
      </c>
      <c r="B8167" t="str">
        <f>"LK6210"</f>
        <v>LK6210</v>
      </c>
      <c r="C8167" t="s">
        <v>8035</v>
      </c>
    </row>
    <row r="8168" spans="1:3" x14ac:dyDescent="0.25">
      <c r="A8168" t="str">
        <f>"0611833473100"</f>
        <v>0611833473100</v>
      </c>
      <c r="B8168" t="str">
        <f>"LL2290"</f>
        <v>LL2290</v>
      </c>
      <c r="C8168" t="s">
        <v>8036</v>
      </c>
    </row>
    <row r="8169" spans="1:3" x14ac:dyDescent="0.25">
      <c r="A8169" t="str">
        <f>"0611833474100"</f>
        <v>0611833474100</v>
      </c>
      <c r="B8169" t="str">
        <f>"LL8195"</f>
        <v>LL8195</v>
      </c>
      <c r="C8169" t="s">
        <v>8037</v>
      </c>
    </row>
    <row r="8170" spans="1:3" x14ac:dyDescent="0.25">
      <c r="A8170" t="str">
        <f>"0611833476100"</f>
        <v>0611833476100</v>
      </c>
      <c r="B8170" t="str">
        <f>"LL2291"</f>
        <v>LL2291</v>
      </c>
      <c r="C8170" t="s">
        <v>8038</v>
      </c>
    </row>
    <row r="8171" spans="1:3" x14ac:dyDescent="0.25">
      <c r="A8171" t="str">
        <f>"0611833477100"</f>
        <v>0611833477100</v>
      </c>
      <c r="B8171" t="str">
        <f>"LL5015"</f>
        <v>LL5015</v>
      </c>
      <c r="C8171" t="s">
        <v>8039</v>
      </c>
    </row>
    <row r="8172" spans="1:3" x14ac:dyDescent="0.25">
      <c r="A8172" t="str">
        <f>"0611833470100"</f>
        <v>0611833470100</v>
      </c>
      <c r="B8172" t="str">
        <f>"LL4852"</f>
        <v>LL4852</v>
      </c>
      <c r="C8172" t="s">
        <v>8040</v>
      </c>
    </row>
    <row r="8173" spans="1:3" x14ac:dyDescent="0.25">
      <c r="A8173" t="str">
        <f>"0611833481100"</f>
        <v>0611833481100</v>
      </c>
      <c r="B8173" t="str">
        <f>"LL2293"</f>
        <v>LL2293</v>
      </c>
      <c r="C8173" t="s">
        <v>8041</v>
      </c>
    </row>
    <row r="8174" spans="1:3" x14ac:dyDescent="0.25">
      <c r="A8174" t="str">
        <f>"0611833493100"</f>
        <v>0611833493100</v>
      </c>
      <c r="B8174" t="str">
        <f>"LL2295"</f>
        <v>LL2295</v>
      </c>
      <c r="C8174" t="s">
        <v>8042</v>
      </c>
    </row>
    <row r="8175" spans="1:3" x14ac:dyDescent="0.25">
      <c r="A8175" t="str">
        <f>"0611833494200"</f>
        <v>0611833494200</v>
      </c>
      <c r="B8175" t="str">
        <f>"KY2295"</f>
        <v>KY2295</v>
      </c>
      <c r="C8175" t="s">
        <v>8043</v>
      </c>
    </row>
    <row r="8176" spans="1:3" x14ac:dyDescent="0.25">
      <c r="A8176" t="str">
        <f>"0611833496100"</f>
        <v>0611833496100</v>
      </c>
      <c r="B8176" t="str">
        <f>"LL2297"</f>
        <v>LL2297</v>
      </c>
      <c r="C8176" t="s">
        <v>8044</v>
      </c>
    </row>
    <row r="8177" spans="1:3" x14ac:dyDescent="0.25">
      <c r="A8177" t="str">
        <f>"0611836761100"</f>
        <v>0611836761100</v>
      </c>
      <c r="B8177" t="str">
        <f>"LL0057"</f>
        <v>LL0057</v>
      </c>
      <c r="C8177" t="s">
        <v>8045</v>
      </c>
    </row>
    <row r="8178" spans="1:3" x14ac:dyDescent="0.25">
      <c r="A8178" t="str">
        <f>"0611833501100"</f>
        <v>0611833501100</v>
      </c>
      <c r="B8178" t="str">
        <f>"LL2611"</f>
        <v>LL2611</v>
      </c>
      <c r="C8178" t="s">
        <v>8046</v>
      </c>
    </row>
    <row r="8179" spans="1:3" x14ac:dyDescent="0.25">
      <c r="A8179" t="str">
        <f>"0611833503100"</f>
        <v>0611833503100</v>
      </c>
      <c r="B8179" t="str">
        <f>"LL0159"</f>
        <v>LL0159</v>
      </c>
      <c r="C8179" t="s">
        <v>8047</v>
      </c>
    </row>
    <row r="8180" spans="1:3" x14ac:dyDescent="0.25">
      <c r="A8180" t="str">
        <f>"0611833504100"</f>
        <v>0611833504100</v>
      </c>
      <c r="B8180" t="str">
        <f>"LL2301"</f>
        <v>LL2301</v>
      </c>
      <c r="C8180" t="s">
        <v>8048</v>
      </c>
    </row>
    <row r="8181" spans="1:3" x14ac:dyDescent="0.25">
      <c r="A8181" t="str">
        <f>"0611833505100"</f>
        <v>0611833505100</v>
      </c>
      <c r="B8181" t="str">
        <f>"LL2302"</f>
        <v>LL2302</v>
      </c>
      <c r="C8181" t="s">
        <v>8049</v>
      </c>
    </row>
    <row r="8182" spans="1:3" x14ac:dyDescent="0.25">
      <c r="A8182" t="str">
        <f>"0611833506100"</f>
        <v>0611833506100</v>
      </c>
      <c r="B8182" t="str">
        <f>"LL2300"</f>
        <v>LL2300</v>
      </c>
      <c r="C8182" t="s">
        <v>8050</v>
      </c>
    </row>
    <row r="8183" spans="1:3" x14ac:dyDescent="0.25">
      <c r="A8183" t="str">
        <f>"0611833508100"</f>
        <v>0611833508100</v>
      </c>
      <c r="B8183" t="str">
        <f>"LL2617"</f>
        <v>LL2617</v>
      </c>
      <c r="C8183" t="s">
        <v>8051</v>
      </c>
    </row>
    <row r="8184" spans="1:3" x14ac:dyDescent="0.25">
      <c r="A8184" t="str">
        <f>"0611833512100"</f>
        <v>0611833512100</v>
      </c>
      <c r="B8184" t="str">
        <f>"LL2320"</f>
        <v>LL2320</v>
      </c>
      <c r="C8184" t="s">
        <v>8052</v>
      </c>
    </row>
    <row r="8185" spans="1:3" x14ac:dyDescent="0.25">
      <c r="A8185" t="str">
        <f>"0611833514100"</f>
        <v>0611833514100</v>
      </c>
      <c r="B8185" t="str">
        <f>"LL2319"</f>
        <v>LL2319</v>
      </c>
      <c r="C8185" t="s">
        <v>8053</v>
      </c>
    </row>
    <row r="8186" spans="1:3" x14ac:dyDescent="0.25">
      <c r="A8186" t="str">
        <f>"0611833516100"</f>
        <v>0611833516100</v>
      </c>
      <c r="B8186" t="str">
        <f>"LL2298"</f>
        <v>LL2298</v>
      </c>
      <c r="C8186" t="s">
        <v>8054</v>
      </c>
    </row>
    <row r="8187" spans="1:3" x14ac:dyDescent="0.25">
      <c r="A8187" t="str">
        <f>"0611833517100"</f>
        <v>0611833517100</v>
      </c>
      <c r="B8187" t="str">
        <f>"LL2616"</f>
        <v>LL2616</v>
      </c>
      <c r="C8187" t="s">
        <v>8055</v>
      </c>
    </row>
    <row r="8188" spans="1:3" x14ac:dyDescent="0.25">
      <c r="A8188" t="str">
        <f>"0611833518100"</f>
        <v>0611833518100</v>
      </c>
      <c r="B8188" t="str">
        <f>"LL8198"</f>
        <v>LL8198</v>
      </c>
      <c r="C8188" t="s">
        <v>8056</v>
      </c>
    </row>
    <row r="8189" spans="1:3" x14ac:dyDescent="0.25">
      <c r="A8189" t="str">
        <f>"0611833519100"</f>
        <v>0611833519100</v>
      </c>
      <c r="B8189" t="str">
        <f>"LL2321"</f>
        <v>LL2321</v>
      </c>
      <c r="C8189" t="s">
        <v>8057</v>
      </c>
    </row>
    <row r="8190" spans="1:3" x14ac:dyDescent="0.25">
      <c r="A8190" t="str">
        <f>"0611833525100"</f>
        <v>0611833525100</v>
      </c>
      <c r="B8190" t="str">
        <f>"LL8199"</f>
        <v>LL8199</v>
      </c>
      <c r="C8190" t="s">
        <v>8058</v>
      </c>
    </row>
    <row r="8191" spans="1:3" x14ac:dyDescent="0.25">
      <c r="A8191" t="str">
        <f>"0611833543100"</f>
        <v>0611833543100</v>
      </c>
      <c r="B8191" t="str">
        <f>"LL0058"</f>
        <v>LL0058</v>
      </c>
      <c r="C8191" t="s">
        <v>8059</v>
      </c>
    </row>
    <row r="8192" spans="1:3" x14ac:dyDescent="0.25">
      <c r="A8192" t="str">
        <f>"0611833544100"</f>
        <v>0611833544100</v>
      </c>
      <c r="B8192" t="str">
        <f>"LL8201"</f>
        <v>LL8201</v>
      </c>
      <c r="C8192" t="s">
        <v>8060</v>
      </c>
    </row>
    <row r="8193" spans="1:3" x14ac:dyDescent="0.25">
      <c r="A8193" t="str">
        <f>"0611833555100"</f>
        <v>0611833555100</v>
      </c>
      <c r="B8193" t="str">
        <f>"LL2332"</f>
        <v>LL2332</v>
      </c>
      <c r="C8193" t="s">
        <v>8061</v>
      </c>
    </row>
    <row r="8194" spans="1:3" x14ac:dyDescent="0.25">
      <c r="A8194" t="str">
        <f>"0611836793025"</f>
        <v>0611836793025</v>
      </c>
      <c r="B8194" t="str">
        <f>"MC0531"</f>
        <v>MC0531</v>
      </c>
      <c r="C8194" t="s">
        <v>8062</v>
      </c>
    </row>
    <row r="8195" spans="1:3" x14ac:dyDescent="0.25">
      <c r="A8195" t="str">
        <f>"0611836794100"</f>
        <v>0611836794100</v>
      </c>
      <c r="B8195" t="str">
        <f>"LB5420"</f>
        <v>LB5420</v>
      </c>
      <c r="C8195" t="s">
        <v>8063</v>
      </c>
    </row>
    <row r="8196" spans="1:3" x14ac:dyDescent="0.25">
      <c r="A8196" t="str">
        <f>"0611836795025"</f>
        <v>0611836795025</v>
      </c>
      <c r="B8196" t="str">
        <f>"MC3225"</f>
        <v>MC3225</v>
      </c>
      <c r="C8196" t="s">
        <v>8064</v>
      </c>
    </row>
    <row r="8197" spans="1:3" x14ac:dyDescent="0.25">
      <c r="A8197" t="str">
        <f>"0611836797100"</f>
        <v>0611836797100</v>
      </c>
      <c r="B8197" t="str">
        <f>"LF4710"</f>
        <v>LF4710</v>
      </c>
      <c r="C8197" t="s">
        <v>8065</v>
      </c>
    </row>
    <row r="8198" spans="1:3" x14ac:dyDescent="0.25">
      <c r="A8198" t="str">
        <f>"0611836802100"</f>
        <v>0611836802100</v>
      </c>
      <c r="B8198" t="str">
        <f>"LK0238"</f>
        <v>LK0238</v>
      </c>
      <c r="C8198" t="s">
        <v>8066</v>
      </c>
    </row>
    <row r="8199" spans="1:3" x14ac:dyDescent="0.25">
      <c r="A8199" t="str">
        <f>"0611836798100"</f>
        <v>0611836798100</v>
      </c>
      <c r="B8199" t="str">
        <f>"LB5516"</f>
        <v>LB5516</v>
      </c>
      <c r="C8199" t="s">
        <v>8067</v>
      </c>
    </row>
    <row r="8200" spans="1:3" x14ac:dyDescent="0.25">
      <c r="A8200" t="str">
        <f>"0611836799100"</f>
        <v>0611836799100</v>
      </c>
      <c r="B8200" t="str">
        <f>"LK5813"</f>
        <v>LK5813</v>
      </c>
      <c r="C8200" t="s">
        <v>8068</v>
      </c>
    </row>
    <row r="8201" spans="1:3" x14ac:dyDescent="0.25">
      <c r="A8201" t="str">
        <f>"0611906851100"</f>
        <v>0611906851100</v>
      </c>
      <c r="B8201" t="str">
        <f>"LQ6318"</f>
        <v>LQ6318</v>
      </c>
      <c r="C8201" t="s">
        <v>8069</v>
      </c>
    </row>
    <row r="8202" spans="1:3" x14ac:dyDescent="0.25">
      <c r="A8202" t="str">
        <f>"0611836800100"</f>
        <v>0611836800100</v>
      </c>
      <c r="B8202" t="str">
        <f>"LQ6240"</f>
        <v>LQ6240</v>
      </c>
      <c r="C8202" t="s">
        <v>8070</v>
      </c>
    </row>
    <row r="8203" spans="1:3" x14ac:dyDescent="0.25">
      <c r="A8203" t="str">
        <f>"0611836801100"</f>
        <v>0611836801100</v>
      </c>
      <c r="B8203" t="str">
        <f>"LK2900"</f>
        <v>LK2900</v>
      </c>
      <c r="C8203" t="s">
        <v>8071</v>
      </c>
    </row>
    <row r="8204" spans="1:3" x14ac:dyDescent="0.25">
      <c r="A8204" t="str">
        <f>"0611836803100"</f>
        <v>0611836803100</v>
      </c>
      <c r="B8204" t="str">
        <f>"LB5500"</f>
        <v>LB5500</v>
      </c>
      <c r="C8204" t="s">
        <v>8072</v>
      </c>
    </row>
    <row r="8205" spans="1:3" x14ac:dyDescent="0.25">
      <c r="A8205" t="str">
        <f>"0611836804100"</f>
        <v>0611836804100</v>
      </c>
      <c r="B8205" t="str">
        <f>"LB5390"</f>
        <v>LB5390</v>
      </c>
      <c r="C8205" t="s">
        <v>8073</v>
      </c>
    </row>
    <row r="8206" spans="1:3" x14ac:dyDescent="0.25">
      <c r="A8206" t="str">
        <f>"0611645903050"</f>
        <v>0611645903050</v>
      </c>
      <c r="B8206" t="str">
        <f>""</f>
        <v/>
      </c>
      <c r="C8206" t="s">
        <v>13910</v>
      </c>
    </row>
    <row r="8207" spans="1:3" x14ac:dyDescent="0.25">
      <c r="A8207" t="str">
        <f>"0611893633100"</f>
        <v>0611893633100</v>
      </c>
      <c r="B8207" t="str">
        <f>"CN5260"</f>
        <v>CN5260</v>
      </c>
      <c r="C8207" t="s">
        <v>8074</v>
      </c>
    </row>
    <row r="8208" spans="1:3" x14ac:dyDescent="0.25">
      <c r="A8208" t="str">
        <f>"0611836763025"</f>
        <v>0611836763025</v>
      </c>
      <c r="B8208" t="str">
        <f>"MC4115"</f>
        <v>MC4115</v>
      </c>
      <c r="C8208" t="s">
        <v>8076</v>
      </c>
    </row>
    <row r="8209" spans="1:3" x14ac:dyDescent="0.25">
      <c r="A8209" t="str">
        <f>"0611862534100"</f>
        <v>0611862534100</v>
      </c>
      <c r="B8209" t="str">
        <f>"CN5260"</f>
        <v>CN5260</v>
      </c>
      <c r="C8209" t="s">
        <v>13911</v>
      </c>
    </row>
    <row r="8210" spans="1:3" x14ac:dyDescent="0.25">
      <c r="A8210" t="str">
        <f>"0611836762100"</f>
        <v>0611836762100</v>
      </c>
      <c r="B8210" t="str">
        <f>"LC5110"</f>
        <v>LC5110</v>
      </c>
      <c r="C8210" t="s">
        <v>8075</v>
      </c>
    </row>
    <row r="8211" spans="1:3" x14ac:dyDescent="0.25">
      <c r="A8211" t="str">
        <f>"0611884321025"</f>
        <v>0611884321025</v>
      </c>
      <c r="B8211" t="str">
        <f>"MC4486"</f>
        <v>MC4486</v>
      </c>
      <c r="C8211" t="s">
        <v>8077</v>
      </c>
    </row>
    <row r="8212" spans="1:3" x14ac:dyDescent="0.25">
      <c r="A8212" t="str">
        <f>"0611884322025"</f>
        <v>0611884322025</v>
      </c>
      <c r="B8212" t="str">
        <f>"MC4487"</f>
        <v>MC4487</v>
      </c>
      <c r="C8212" t="s">
        <v>8078</v>
      </c>
    </row>
    <row r="8213" spans="1:3" x14ac:dyDescent="0.25">
      <c r="A8213" t="str">
        <f>"0611884323025"</f>
        <v>0611884323025</v>
      </c>
      <c r="B8213" t="str">
        <f>"MC4488"</f>
        <v>MC4488</v>
      </c>
      <c r="C8213" t="s">
        <v>8079</v>
      </c>
    </row>
    <row r="8214" spans="1:3" x14ac:dyDescent="0.25">
      <c r="A8214" t="str">
        <f>"0611836764100"</f>
        <v>0611836764100</v>
      </c>
      <c r="B8214" t="str">
        <f>"LC8405"</f>
        <v>LC8405</v>
      </c>
      <c r="C8214" t="s">
        <v>8080</v>
      </c>
    </row>
    <row r="8215" spans="1:3" x14ac:dyDescent="0.25">
      <c r="A8215" t="str">
        <f>"0611836765100"</f>
        <v>0611836765100</v>
      </c>
      <c r="B8215" t="str">
        <f>"LC8406"</f>
        <v>LC8406</v>
      </c>
      <c r="C8215" t="s">
        <v>8081</v>
      </c>
    </row>
    <row r="8216" spans="1:3" x14ac:dyDescent="0.25">
      <c r="A8216" t="str">
        <f>"0611893634100"</f>
        <v>0611893634100</v>
      </c>
      <c r="B8216" t="str">
        <f>"CN5262"</f>
        <v>CN5262</v>
      </c>
      <c r="C8216" t="s">
        <v>8082</v>
      </c>
    </row>
    <row r="8217" spans="1:3" x14ac:dyDescent="0.25">
      <c r="A8217" t="str">
        <f>"0611836766025"</f>
        <v>0611836766025</v>
      </c>
      <c r="B8217" t="str">
        <f>"MC0798"</f>
        <v>MC0798</v>
      </c>
      <c r="C8217" t="s">
        <v>8083</v>
      </c>
    </row>
    <row r="8218" spans="1:3" x14ac:dyDescent="0.25">
      <c r="A8218" t="str">
        <f>"0611862536100"</f>
        <v>0611862536100</v>
      </c>
      <c r="B8218" t="str">
        <f>"CN5262"</f>
        <v>CN5262</v>
      </c>
      <c r="C8218" t="s">
        <v>13912</v>
      </c>
    </row>
    <row r="8219" spans="1:3" x14ac:dyDescent="0.25">
      <c r="A8219" t="str">
        <f>"0611836767100"</f>
        <v>0611836767100</v>
      </c>
      <c r="B8219" t="str">
        <f>"LC8407"</f>
        <v>LC8407</v>
      </c>
      <c r="C8219" t="s">
        <v>8084</v>
      </c>
    </row>
    <row r="8220" spans="1:3" x14ac:dyDescent="0.25">
      <c r="A8220" t="str">
        <f>"0611836768025"</f>
        <v>0611836768025</v>
      </c>
      <c r="B8220" t="str">
        <f>"MC4116"</f>
        <v>MC4116</v>
      </c>
      <c r="C8220" t="s">
        <v>8085</v>
      </c>
    </row>
    <row r="8221" spans="1:3" x14ac:dyDescent="0.25">
      <c r="A8221" t="str">
        <f>"0611836769100"</f>
        <v>0611836769100</v>
      </c>
      <c r="B8221" t="str">
        <f>"LC8408"</f>
        <v>LC8408</v>
      </c>
      <c r="C8221" t="s">
        <v>8086</v>
      </c>
    </row>
    <row r="8222" spans="1:3" x14ac:dyDescent="0.25">
      <c r="A8222" t="str">
        <f>"0611884324025"</f>
        <v>0611884324025</v>
      </c>
      <c r="B8222" t="str">
        <f>"MC4489"</f>
        <v>MC4489</v>
      </c>
      <c r="C8222" t="s">
        <v>8087</v>
      </c>
    </row>
    <row r="8223" spans="1:3" x14ac:dyDescent="0.25">
      <c r="A8223" t="str">
        <f>"0611884325025"</f>
        <v>0611884325025</v>
      </c>
      <c r="B8223" t="str">
        <f>"MC4499"</f>
        <v>MC4499</v>
      </c>
      <c r="C8223" t="s">
        <v>8088</v>
      </c>
    </row>
    <row r="8224" spans="1:3" x14ac:dyDescent="0.25">
      <c r="A8224" t="str">
        <f>"0611836778100"</f>
        <v>0611836778100</v>
      </c>
      <c r="B8224" t="str">
        <f>"LC8422"</f>
        <v>LC8422</v>
      </c>
      <c r="C8224" t="s">
        <v>8091</v>
      </c>
    </row>
    <row r="8225" spans="1:3" x14ac:dyDescent="0.25">
      <c r="A8225" t="str">
        <f>"0611836771100"</f>
        <v>0611836771100</v>
      </c>
      <c r="B8225" t="str">
        <f>"LC8410"</f>
        <v>LC8410</v>
      </c>
      <c r="C8225" t="s">
        <v>8089</v>
      </c>
    </row>
    <row r="8226" spans="1:3" x14ac:dyDescent="0.25">
      <c r="A8226" t="str">
        <f>"0611884326025"</f>
        <v>0611884326025</v>
      </c>
      <c r="B8226" t="str">
        <f>"MC4490"</f>
        <v>MC4490</v>
      </c>
      <c r="C8226" t="s">
        <v>8090</v>
      </c>
    </row>
    <row r="8227" spans="1:3" x14ac:dyDescent="0.25">
      <c r="A8227" t="str">
        <f>"0611836772100"</f>
        <v>0611836772100</v>
      </c>
      <c r="B8227" t="str">
        <f>"LC8411"</f>
        <v>LC8411</v>
      </c>
      <c r="C8227" t="s">
        <v>8092</v>
      </c>
    </row>
    <row r="8228" spans="1:3" x14ac:dyDescent="0.25">
      <c r="A8228" t="str">
        <f>"0611884327025"</f>
        <v>0611884327025</v>
      </c>
      <c r="B8228" t="str">
        <f>"MC4491"</f>
        <v>MC4491</v>
      </c>
      <c r="C8228" t="s">
        <v>8093</v>
      </c>
    </row>
    <row r="8229" spans="1:3" x14ac:dyDescent="0.25">
      <c r="A8229" t="str">
        <f>"0611884328025"</f>
        <v>0611884328025</v>
      </c>
      <c r="B8229" t="str">
        <f>"MC4492"</f>
        <v>MC4492</v>
      </c>
      <c r="C8229" t="s">
        <v>8094</v>
      </c>
    </row>
    <row r="8230" spans="1:3" x14ac:dyDescent="0.25">
      <c r="A8230" t="str">
        <f>"0611836773100"</f>
        <v>0611836773100</v>
      </c>
      <c r="B8230" t="str">
        <f>"LC8416"</f>
        <v>LC8416</v>
      </c>
      <c r="C8230" t="s">
        <v>8095</v>
      </c>
    </row>
    <row r="8231" spans="1:3" x14ac:dyDescent="0.25">
      <c r="A8231" t="str">
        <f>"0611836774025"</f>
        <v>0611836774025</v>
      </c>
      <c r="B8231" t="str">
        <f>"MC2273"</f>
        <v>MC2273</v>
      </c>
      <c r="C8231" t="s">
        <v>8096</v>
      </c>
    </row>
    <row r="8232" spans="1:3" x14ac:dyDescent="0.25">
      <c r="A8232" t="str">
        <f>"0611862537100"</f>
        <v>0611862537100</v>
      </c>
      <c r="B8232" t="str">
        <f>"CN5258"</f>
        <v>CN5258</v>
      </c>
      <c r="C8232" t="s">
        <v>8097</v>
      </c>
    </row>
    <row r="8233" spans="1:3" x14ac:dyDescent="0.25">
      <c r="A8233" t="str">
        <f>"0611836775100"</f>
        <v>0611836775100</v>
      </c>
      <c r="B8233" t="str">
        <f>"LC8424"</f>
        <v>LC8424</v>
      </c>
      <c r="C8233" t="s">
        <v>8098</v>
      </c>
    </row>
    <row r="8234" spans="1:3" x14ac:dyDescent="0.25">
      <c r="A8234" t="str">
        <f>"0611836776100"</f>
        <v>0611836776100</v>
      </c>
      <c r="B8234" t="str">
        <f>"LC8402"</f>
        <v>LC8402</v>
      </c>
      <c r="C8234" t="s">
        <v>8099</v>
      </c>
    </row>
    <row r="8235" spans="1:3" x14ac:dyDescent="0.25">
      <c r="A8235" t="str">
        <f>"0611836777100"</f>
        <v>0611836777100</v>
      </c>
      <c r="B8235" t="str">
        <f>"LK6089"</f>
        <v>LK6089</v>
      </c>
      <c r="C8235" t="s">
        <v>8100</v>
      </c>
    </row>
    <row r="8236" spans="1:3" x14ac:dyDescent="0.25">
      <c r="A8236" t="str">
        <f>"0611836780100"</f>
        <v>0611836780100</v>
      </c>
      <c r="B8236" t="str">
        <f>"LC9624"</f>
        <v>LC9624</v>
      </c>
      <c r="C8236" t="s">
        <v>8101</v>
      </c>
    </row>
    <row r="8237" spans="1:3" x14ac:dyDescent="0.25">
      <c r="A8237" t="str">
        <f>"0611836781025"</f>
        <v>0611836781025</v>
      </c>
      <c r="B8237" t="str">
        <f>"MC4117"</f>
        <v>MC4117</v>
      </c>
      <c r="C8237" t="s">
        <v>8102</v>
      </c>
    </row>
    <row r="8238" spans="1:3" x14ac:dyDescent="0.25">
      <c r="A8238" t="str">
        <f>"0611836782100"</f>
        <v>0611836782100</v>
      </c>
      <c r="B8238" t="str">
        <f>"LC3397"</f>
        <v>LC3397</v>
      </c>
      <c r="C8238" t="s">
        <v>8103</v>
      </c>
    </row>
    <row r="8239" spans="1:3" x14ac:dyDescent="0.25">
      <c r="A8239" t="str">
        <f>"0611884329025"</f>
        <v>0611884329025</v>
      </c>
      <c r="B8239" t="str">
        <f>"MC4493"</f>
        <v>MC4493</v>
      </c>
      <c r="C8239" t="s">
        <v>8104</v>
      </c>
    </row>
    <row r="8240" spans="1:3" x14ac:dyDescent="0.25">
      <c r="A8240" t="str">
        <f>"0611836783100"</f>
        <v>0611836783100</v>
      </c>
      <c r="B8240" t="str">
        <f>"LC8414"</f>
        <v>LC8414</v>
      </c>
      <c r="C8240" t="s">
        <v>8105</v>
      </c>
    </row>
    <row r="8241" spans="1:3" x14ac:dyDescent="0.25">
      <c r="A8241" t="str">
        <f>"0611893635100"</f>
        <v>0611893635100</v>
      </c>
      <c r="B8241" t="str">
        <f>"CN5263"</f>
        <v>CN5263</v>
      </c>
      <c r="C8241" t="s">
        <v>8106</v>
      </c>
    </row>
    <row r="8242" spans="1:3" x14ac:dyDescent="0.25">
      <c r="A8242" t="str">
        <f>"0611836784025"</f>
        <v>0611836784025</v>
      </c>
      <c r="B8242" t="str">
        <f>"MC4118"</f>
        <v>MC4118</v>
      </c>
      <c r="C8242" t="s">
        <v>8107</v>
      </c>
    </row>
    <row r="8243" spans="1:3" x14ac:dyDescent="0.25">
      <c r="A8243" t="str">
        <f>"0611862538100"</f>
        <v>0611862538100</v>
      </c>
      <c r="B8243" t="str">
        <f>"CN5263"</f>
        <v>CN5263</v>
      </c>
      <c r="C8243" t="s">
        <v>13913</v>
      </c>
    </row>
    <row r="8244" spans="1:3" x14ac:dyDescent="0.25">
      <c r="A8244" t="str">
        <f>"0611836785100"</f>
        <v>0611836785100</v>
      </c>
      <c r="B8244" t="str">
        <f>"LC8601"</f>
        <v>LC8601</v>
      </c>
      <c r="C8244" t="s">
        <v>8108</v>
      </c>
    </row>
    <row r="8245" spans="1:3" x14ac:dyDescent="0.25">
      <c r="A8245" t="str">
        <f>"0611836786100"</f>
        <v>0611836786100</v>
      </c>
      <c r="B8245" t="str">
        <f>"LC8400"</f>
        <v>LC8400</v>
      </c>
      <c r="C8245" t="s">
        <v>8109</v>
      </c>
    </row>
    <row r="8246" spans="1:3" x14ac:dyDescent="0.25">
      <c r="A8246" t="str">
        <f>"0611893636100"</f>
        <v>0611893636100</v>
      </c>
      <c r="B8246" t="str">
        <f>"CN5264"</f>
        <v>CN5264</v>
      </c>
      <c r="C8246" t="s">
        <v>8110</v>
      </c>
    </row>
    <row r="8247" spans="1:3" x14ac:dyDescent="0.25">
      <c r="A8247" t="str">
        <f>"0611836787025"</f>
        <v>0611836787025</v>
      </c>
      <c r="B8247" t="str">
        <f>"MC0800"</f>
        <v>MC0800</v>
      </c>
      <c r="C8247" t="s">
        <v>8111</v>
      </c>
    </row>
    <row r="8248" spans="1:3" x14ac:dyDescent="0.25">
      <c r="A8248" t="str">
        <f>"0611862539100"</f>
        <v>0611862539100</v>
      </c>
      <c r="B8248" t="str">
        <f>"CN5264"</f>
        <v>CN5264</v>
      </c>
      <c r="C8248" t="s">
        <v>13914</v>
      </c>
    </row>
    <row r="8249" spans="1:3" x14ac:dyDescent="0.25">
      <c r="A8249" t="str">
        <f>"0611906852025"</f>
        <v>0611906852025</v>
      </c>
      <c r="B8249" t="str">
        <f>"MQ7562"</f>
        <v>MQ7562</v>
      </c>
      <c r="C8249" t="s">
        <v>8112</v>
      </c>
    </row>
    <row r="8250" spans="1:3" x14ac:dyDescent="0.25">
      <c r="A8250" t="str">
        <f>"0611836788100"</f>
        <v>0611836788100</v>
      </c>
      <c r="B8250" t="str">
        <f>"LC8415"</f>
        <v>LC8415</v>
      </c>
      <c r="C8250" t="s">
        <v>8113</v>
      </c>
    </row>
    <row r="8251" spans="1:3" x14ac:dyDescent="0.25">
      <c r="A8251" t="str">
        <f>"0611862540100"</f>
        <v>0611862540100</v>
      </c>
      <c r="B8251" t="str">
        <f>"CN5261"</f>
        <v>CN5261</v>
      </c>
      <c r="C8251" t="s">
        <v>8114</v>
      </c>
    </row>
    <row r="8252" spans="1:3" x14ac:dyDescent="0.25">
      <c r="A8252" t="str">
        <f>"0611836789025"</f>
        <v>0611836789025</v>
      </c>
      <c r="B8252" t="str">
        <f>"MC0801"</f>
        <v>MC0801</v>
      </c>
      <c r="C8252" t="s">
        <v>8115</v>
      </c>
    </row>
    <row r="8253" spans="1:3" x14ac:dyDescent="0.25">
      <c r="A8253" t="str">
        <f>"0611836790100"</f>
        <v>0611836790100</v>
      </c>
      <c r="B8253" t="str">
        <f>"LC3398"</f>
        <v>LC3398</v>
      </c>
      <c r="C8253" t="s">
        <v>8117</v>
      </c>
    </row>
    <row r="8254" spans="1:3" x14ac:dyDescent="0.25">
      <c r="A8254" t="str">
        <f>"0611836791100"</f>
        <v>0611836791100</v>
      </c>
      <c r="B8254" t="str">
        <f>"LC9275"</f>
        <v>LC9275</v>
      </c>
      <c r="C8254" t="s">
        <v>8118</v>
      </c>
    </row>
    <row r="8255" spans="1:3" x14ac:dyDescent="0.25">
      <c r="A8255" t="str">
        <f>"0611836792025"</f>
        <v>0611836792025</v>
      </c>
      <c r="B8255" t="str">
        <f>"MC0802"</f>
        <v>MC0802</v>
      </c>
      <c r="C8255" t="s">
        <v>8119</v>
      </c>
    </row>
    <row r="8256" spans="1:3" x14ac:dyDescent="0.25">
      <c r="A8256" t="str">
        <f>"0611862542100"</f>
        <v>0611862542100</v>
      </c>
      <c r="B8256" t="str">
        <f>"CN5259"</f>
        <v>CN5259</v>
      </c>
      <c r="C8256" t="s">
        <v>8120</v>
      </c>
    </row>
    <row r="8257" spans="1:3" x14ac:dyDescent="0.25">
      <c r="A8257" t="str">
        <f>"0611884330025"</f>
        <v>0611884330025</v>
      </c>
      <c r="B8257" t="str">
        <f>"MC4494"</f>
        <v>MC4494</v>
      </c>
      <c r="C8257" t="s">
        <v>8121</v>
      </c>
    </row>
    <row r="8258" spans="1:3" x14ac:dyDescent="0.25">
      <c r="A8258" t="str">
        <f>"0611884331025"</f>
        <v>0611884331025</v>
      </c>
      <c r="B8258" t="str">
        <f>"MC4495"</f>
        <v>MC4495</v>
      </c>
      <c r="C8258" t="s">
        <v>8122</v>
      </c>
    </row>
    <row r="8259" spans="1:3" x14ac:dyDescent="0.25">
      <c r="A8259" t="str">
        <f>"0611884332025"</f>
        <v>0611884332025</v>
      </c>
      <c r="B8259" t="str">
        <f>"MC4496"</f>
        <v>MC4496</v>
      </c>
      <c r="C8259" t="s">
        <v>8123</v>
      </c>
    </row>
    <row r="8260" spans="1:3" x14ac:dyDescent="0.25">
      <c r="A8260" t="str">
        <f>"0611836779100"</f>
        <v>0611836779100</v>
      </c>
      <c r="B8260" t="str">
        <f>"LC8413"</f>
        <v>LC8413</v>
      </c>
      <c r="C8260" t="s">
        <v>8124</v>
      </c>
    </row>
    <row r="8261" spans="1:3" x14ac:dyDescent="0.25">
      <c r="A8261" t="str">
        <f>"0611836805100"</f>
        <v>0611836805100</v>
      </c>
      <c r="B8261" t="str">
        <f>"LB5601"</f>
        <v>LB5601</v>
      </c>
      <c r="C8261" t="s">
        <v>8125</v>
      </c>
    </row>
    <row r="8262" spans="1:3" x14ac:dyDescent="0.25">
      <c r="A8262" t="str">
        <f>"0611836814025"</f>
        <v>0611836814025</v>
      </c>
      <c r="B8262" t="str">
        <f>"MC1183"</f>
        <v>MC1183</v>
      </c>
      <c r="C8262" t="s">
        <v>8149</v>
      </c>
    </row>
    <row r="8263" spans="1:3" x14ac:dyDescent="0.25">
      <c r="A8263" t="str">
        <f>"0611836815025"</f>
        <v>0611836815025</v>
      </c>
      <c r="B8263" t="str">
        <f>"MQ0225"</f>
        <v>MQ0225</v>
      </c>
      <c r="C8263" t="s">
        <v>8150</v>
      </c>
    </row>
    <row r="8264" spans="1:3" x14ac:dyDescent="0.25">
      <c r="A8264" t="str">
        <f>"0611836816025"</f>
        <v>0611836816025</v>
      </c>
      <c r="B8264" t="str">
        <f>"MC1918"</f>
        <v>MC1918</v>
      </c>
      <c r="C8264" t="s">
        <v>8151</v>
      </c>
    </row>
    <row r="8265" spans="1:3" x14ac:dyDescent="0.25">
      <c r="A8265" t="str">
        <f>"0611836817025"</f>
        <v>0611836817025</v>
      </c>
      <c r="B8265" t="str">
        <f>"MC0532"</f>
        <v>MC0532</v>
      </c>
      <c r="C8265" t="s">
        <v>8152</v>
      </c>
    </row>
    <row r="8266" spans="1:3" x14ac:dyDescent="0.25">
      <c r="A8266" t="str">
        <f>"0611856964025"</f>
        <v>0611856964025</v>
      </c>
      <c r="B8266" t="str">
        <f>"MQ6056"</f>
        <v>MQ6056</v>
      </c>
      <c r="C8266" t="s">
        <v>8153</v>
      </c>
    </row>
    <row r="8267" spans="1:3" x14ac:dyDescent="0.25">
      <c r="A8267" t="str">
        <f>"0611836818025"</f>
        <v>0611836818025</v>
      </c>
      <c r="B8267" t="str">
        <f>"MC1922"</f>
        <v>MC1922</v>
      </c>
      <c r="C8267" t="s">
        <v>8154</v>
      </c>
    </row>
    <row r="8268" spans="1:3" x14ac:dyDescent="0.25">
      <c r="A8268" t="str">
        <f>"0611836819025"</f>
        <v>0611836819025</v>
      </c>
      <c r="B8268" t="str">
        <f>"MC0533"</f>
        <v>MC0533</v>
      </c>
      <c r="C8268" t="s">
        <v>8155</v>
      </c>
    </row>
    <row r="8269" spans="1:3" x14ac:dyDescent="0.25">
      <c r="A8269" t="str">
        <f>"0611836820025"</f>
        <v>0611836820025</v>
      </c>
      <c r="B8269" t="str">
        <f>"MC0538"</f>
        <v>MC0538</v>
      </c>
      <c r="C8269" t="s">
        <v>8156</v>
      </c>
    </row>
    <row r="8270" spans="1:3" x14ac:dyDescent="0.25">
      <c r="A8270" t="str">
        <f>"0611836821025"</f>
        <v>0611836821025</v>
      </c>
      <c r="B8270" t="str">
        <f>"MC0536"</f>
        <v>MC0536</v>
      </c>
      <c r="C8270" t="s">
        <v>8157</v>
      </c>
    </row>
    <row r="8271" spans="1:3" x14ac:dyDescent="0.25">
      <c r="A8271" t="str">
        <f>"0611836822025"</f>
        <v>0611836822025</v>
      </c>
      <c r="B8271" t="str">
        <f>"MC0537"</f>
        <v>MC0537</v>
      </c>
      <c r="C8271" t="s">
        <v>8159</v>
      </c>
    </row>
    <row r="8272" spans="1:3" x14ac:dyDescent="0.25">
      <c r="A8272" t="str">
        <f>"0611836823025"</f>
        <v>0611836823025</v>
      </c>
      <c r="B8272" t="str">
        <f>"MC1184"</f>
        <v>MC1184</v>
      </c>
      <c r="C8272" t="s">
        <v>8158</v>
      </c>
    </row>
    <row r="8273" spans="1:3" x14ac:dyDescent="0.25">
      <c r="A8273" t="str">
        <f>"0611836806025"</f>
        <v>0611836806025</v>
      </c>
      <c r="B8273" t="str">
        <f>"MC1614"</f>
        <v>MC1614</v>
      </c>
      <c r="C8273" t="s">
        <v>8126</v>
      </c>
    </row>
    <row r="8274" spans="1:3" x14ac:dyDescent="0.25">
      <c r="A8274" t="str">
        <f>"0611836809100"</f>
        <v>0611836809100</v>
      </c>
      <c r="B8274" t="str">
        <f>"LK3274"</f>
        <v>LK3274</v>
      </c>
      <c r="C8274" t="s">
        <v>8127</v>
      </c>
    </row>
    <row r="8275" spans="1:3" x14ac:dyDescent="0.25">
      <c r="A8275" t="str">
        <f>"0611836807100"</f>
        <v>0611836807100</v>
      </c>
      <c r="B8275" t="str">
        <f>"LK3272"</f>
        <v>LK3272</v>
      </c>
      <c r="C8275" t="s">
        <v>8128</v>
      </c>
    </row>
    <row r="8276" spans="1:3" x14ac:dyDescent="0.25">
      <c r="A8276" t="str">
        <f>"0611836810100"</f>
        <v>0611836810100</v>
      </c>
      <c r="B8276" t="str">
        <f>"LK3278"</f>
        <v>LK3278</v>
      </c>
      <c r="C8276" t="s">
        <v>8129</v>
      </c>
    </row>
    <row r="8277" spans="1:3" x14ac:dyDescent="0.25">
      <c r="A8277" t="str">
        <f>"0611836811100"</f>
        <v>0611836811100</v>
      </c>
      <c r="B8277" t="str">
        <f>"LK3275"</f>
        <v>LK3275</v>
      </c>
      <c r="C8277" t="s">
        <v>8130</v>
      </c>
    </row>
    <row r="8278" spans="1:3" x14ac:dyDescent="0.25">
      <c r="A8278" t="str">
        <f>"0611836812100"</f>
        <v>0611836812100</v>
      </c>
      <c r="B8278" t="str">
        <f>"LK3277"</f>
        <v>LK3277</v>
      </c>
      <c r="C8278" t="s">
        <v>8131</v>
      </c>
    </row>
    <row r="8279" spans="1:3" x14ac:dyDescent="0.25">
      <c r="A8279" t="str">
        <f>"0611836808100"</f>
        <v>0611836808100</v>
      </c>
      <c r="B8279" t="str">
        <f>"LK3276"</f>
        <v>LK3276</v>
      </c>
      <c r="C8279" t="s">
        <v>8132</v>
      </c>
    </row>
    <row r="8280" spans="1:3" x14ac:dyDescent="0.25">
      <c r="A8280" t="str">
        <f>"0611836813100"</f>
        <v>0611836813100</v>
      </c>
      <c r="B8280" t="str">
        <f>"LK3273"</f>
        <v>LK3273</v>
      </c>
      <c r="C8280" t="s">
        <v>8133</v>
      </c>
    </row>
    <row r="8281" spans="1:3" x14ac:dyDescent="0.25">
      <c r="A8281" t="str">
        <f>"0611833719100"</f>
        <v>0611833719100</v>
      </c>
      <c r="B8281" t="str">
        <f>"LK6353"</f>
        <v>LK6353</v>
      </c>
      <c r="C8281" t="s">
        <v>8134</v>
      </c>
    </row>
    <row r="8282" spans="1:3" x14ac:dyDescent="0.25">
      <c r="A8282" t="str">
        <f>"0611857034100"</f>
        <v>0611857034100</v>
      </c>
      <c r="B8282" t="str">
        <f>"LK6840"</f>
        <v>LK6840</v>
      </c>
      <c r="C8282" t="s">
        <v>8135</v>
      </c>
    </row>
    <row r="8283" spans="1:3" x14ac:dyDescent="0.25">
      <c r="A8283" t="str">
        <f>"0611834757100"</f>
        <v>0611834757100</v>
      </c>
      <c r="B8283" t="str">
        <f>"LK5992"</f>
        <v>LK5992</v>
      </c>
      <c r="C8283" t="s">
        <v>8136</v>
      </c>
    </row>
    <row r="8284" spans="1:3" x14ac:dyDescent="0.25">
      <c r="A8284" t="str">
        <f>"0611839383100"</f>
        <v>0611839383100</v>
      </c>
      <c r="B8284" t="str">
        <f>"MB9902"</f>
        <v>MB9902</v>
      </c>
      <c r="C8284" t="s">
        <v>8137</v>
      </c>
    </row>
    <row r="8285" spans="1:3" x14ac:dyDescent="0.25">
      <c r="A8285" t="str">
        <f>"0611837041100"</f>
        <v>0611837041100</v>
      </c>
      <c r="B8285" t="str">
        <f>"LK5993"</f>
        <v>LK5993</v>
      </c>
      <c r="C8285" t="s">
        <v>8138</v>
      </c>
    </row>
    <row r="8286" spans="1:3" x14ac:dyDescent="0.25">
      <c r="A8286" t="str">
        <f>"0611838554025"</f>
        <v>0611838554025</v>
      </c>
      <c r="B8286" t="str">
        <f>"MC4112"</f>
        <v>MC4112</v>
      </c>
      <c r="C8286" t="s">
        <v>8139</v>
      </c>
    </row>
    <row r="8287" spans="1:3" x14ac:dyDescent="0.25">
      <c r="A8287" t="str">
        <f>"0611838757100"</f>
        <v>0611838757100</v>
      </c>
      <c r="B8287" t="str">
        <f>"LK6319"</f>
        <v>LK6319</v>
      </c>
      <c r="C8287" t="s">
        <v>8140</v>
      </c>
    </row>
    <row r="8288" spans="1:3" x14ac:dyDescent="0.25">
      <c r="A8288" t="str">
        <f>"0611837163100"</f>
        <v>0611837163100</v>
      </c>
      <c r="B8288" t="str">
        <f>"MB9802"</f>
        <v>MB9802</v>
      </c>
      <c r="C8288" t="s">
        <v>8141</v>
      </c>
    </row>
    <row r="8289" spans="1:3" x14ac:dyDescent="0.25">
      <c r="A8289" t="str">
        <f>"0611837164025"</f>
        <v>0611837164025</v>
      </c>
      <c r="B8289" t="str">
        <f>"MC3330"</f>
        <v>MC3330</v>
      </c>
      <c r="C8289" t="s">
        <v>8142</v>
      </c>
    </row>
    <row r="8290" spans="1:3" x14ac:dyDescent="0.25">
      <c r="A8290" t="str">
        <f>"0611837165100"</f>
        <v>0611837165100</v>
      </c>
      <c r="B8290" t="str">
        <f>"MB9805"</f>
        <v>MB9805</v>
      </c>
      <c r="C8290" t="s">
        <v>8143</v>
      </c>
    </row>
    <row r="8291" spans="1:3" x14ac:dyDescent="0.25">
      <c r="A8291" t="str">
        <f>"0611839337100"</f>
        <v>0611839337100</v>
      </c>
      <c r="B8291" t="str">
        <f>"MB9803"</f>
        <v>MB9803</v>
      </c>
      <c r="C8291" t="s">
        <v>8144</v>
      </c>
    </row>
    <row r="8292" spans="1:3" x14ac:dyDescent="0.25">
      <c r="A8292" t="str">
        <f>"0611839338025"</f>
        <v>0611839338025</v>
      </c>
      <c r="B8292" t="str">
        <f>"MC3331"</f>
        <v>MC3331</v>
      </c>
      <c r="C8292" t="s">
        <v>8145</v>
      </c>
    </row>
    <row r="8293" spans="1:3" x14ac:dyDescent="0.25">
      <c r="A8293" t="str">
        <f>"0611839481100"</f>
        <v>0611839481100</v>
      </c>
      <c r="B8293" t="str">
        <f>"MB9801"</f>
        <v>MB9801</v>
      </c>
      <c r="C8293" t="s">
        <v>8146</v>
      </c>
    </row>
    <row r="8294" spans="1:3" x14ac:dyDescent="0.25">
      <c r="A8294" t="str">
        <f>"0611839482025"</f>
        <v>0611839482025</v>
      </c>
      <c r="B8294" t="str">
        <f>"MC3329"</f>
        <v>MC3329</v>
      </c>
      <c r="C8294" t="s">
        <v>8147</v>
      </c>
    </row>
    <row r="8295" spans="1:3" x14ac:dyDescent="0.25">
      <c r="A8295" t="str">
        <f>"0611839483100"</f>
        <v>0611839483100</v>
      </c>
      <c r="B8295" t="str">
        <f>"MB9804"</f>
        <v>MB9804</v>
      </c>
      <c r="C8295" t="s">
        <v>8148</v>
      </c>
    </row>
    <row r="8296" spans="1:3" x14ac:dyDescent="0.25">
      <c r="A8296" t="str">
        <f>"0611836824100"</f>
        <v>0611836824100</v>
      </c>
      <c r="B8296" t="str">
        <f>"LB1201"</f>
        <v>LB1201</v>
      </c>
      <c r="C8296" t="s">
        <v>8160</v>
      </c>
    </row>
    <row r="8297" spans="1:3" x14ac:dyDescent="0.25">
      <c r="A8297" t="str">
        <f>"0611836825025"</f>
        <v>0611836825025</v>
      </c>
      <c r="B8297" t="str">
        <f>"MQ3173"</f>
        <v>MQ3173</v>
      </c>
      <c r="C8297" t="s">
        <v>8161</v>
      </c>
    </row>
    <row r="8298" spans="1:3" x14ac:dyDescent="0.25">
      <c r="A8298" t="str">
        <f>"0611836826025"</f>
        <v>0611836826025</v>
      </c>
      <c r="B8298" t="str">
        <f>"MQ3174"</f>
        <v>MQ3174</v>
      </c>
      <c r="C8298" t="s">
        <v>8162</v>
      </c>
    </row>
    <row r="8299" spans="1:3" x14ac:dyDescent="0.25">
      <c r="A8299" t="str">
        <f>"0611836827025"</f>
        <v>0611836827025</v>
      </c>
      <c r="B8299" t="str">
        <f>"MQ3175"</f>
        <v>MQ3175</v>
      </c>
      <c r="C8299" t="s">
        <v>8163</v>
      </c>
    </row>
    <row r="8300" spans="1:3" x14ac:dyDescent="0.25">
      <c r="A8300" t="str">
        <f>"0611836828025"</f>
        <v>0611836828025</v>
      </c>
      <c r="B8300" t="str">
        <f>"MQ3176"</f>
        <v>MQ3176</v>
      </c>
      <c r="C8300" t="s">
        <v>8164</v>
      </c>
    </row>
    <row r="8301" spans="1:3" x14ac:dyDescent="0.25">
      <c r="A8301" t="str">
        <f>"0611836829100"</f>
        <v>0611836829100</v>
      </c>
      <c r="B8301" t="str">
        <f>"LC5300"</f>
        <v>LC5300</v>
      </c>
      <c r="C8301" t="s">
        <v>8165</v>
      </c>
    </row>
    <row r="8302" spans="1:3" x14ac:dyDescent="0.25">
      <c r="A8302" t="str">
        <f>"0611836830025"</f>
        <v>0611836830025</v>
      </c>
      <c r="B8302" t="str">
        <f>"MQ0722"</f>
        <v>MQ0722</v>
      </c>
      <c r="C8302" t="s">
        <v>8166</v>
      </c>
    </row>
    <row r="8303" spans="1:3" x14ac:dyDescent="0.25">
      <c r="A8303" t="str">
        <f>"0611836831025"</f>
        <v>0611836831025</v>
      </c>
      <c r="B8303" t="str">
        <f>"MQ0723"</f>
        <v>MQ0723</v>
      </c>
      <c r="C8303" t="s">
        <v>8167</v>
      </c>
    </row>
    <row r="8304" spans="1:3" x14ac:dyDescent="0.25">
      <c r="A8304" t="str">
        <f>"0611836832025"</f>
        <v>0611836832025</v>
      </c>
      <c r="B8304" t="str">
        <f>"MQ0724"</f>
        <v>MQ0724</v>
      </c>
      <c r="C8304" t="s">
        <v>8168</v>
      </c>
    </row>
    <row r="8305" spans="1:3" x14ac:dyDescent="0.25">
      <c r="A8305" t="str">
        <f>"0611836833025"</f>
        <v>0611836833025</v>
      </c>
      <c r="B8305" t="str">
        <f>"MC0539"</f>
        <v>MC0539</v>
      </c>
      <c r="C8305" t="s">
        <v>8169</v>
      </c>
    </row>
    <row r="8306" spans="1:3" x14ac:dyDescent="0.25">
      <c r="A8306" t="str">
        <f>"0611863290100"</f>
        <v>0611863290100</v>
      </c>
      <c r="B8306" t="str">
        <f>"CN5269"</f>
        <v>CN5269</v>
      </c>
      <c r="C8306" t="s">
        <v>8170</v>
      </c>
    </row>
    <row r="8307" spans="1:3" x14ac:dyDescent="0.25">
      <c r="A8307" t="str">
        <f>"0611836834025"</f>
        <v>0611836834025</v>
      </c>
      <c r="B8307" t="str">
        <f>"MQ3044"</f>
        <v>MQ3044</v>
      </c>
      <c r="C8307" t="s">
        <v>8171</v>
      </c>
    </row>
    <row r="8308" spans="1:3" x14ac:dyDescent="0.25">
      <c r="A8308" t="str">
        <f>"0611836835025"</f>
        <v>0611836835025</v>
      </c>
      <c r="B8308" t="str">
        <f>"MC0542"</f>
        <v>MC0542</v>
      </c>
      <c r="C8308" t="s">
        <v>8172</v>
      </c>
    </row>
    <row r="8309" spans="1:3" x14ac:dyDescent="0.25">
      <c r="A8309" t="str">
        <f>"0611836836025"</f>
        <v>0611836836025</v>
      </c>
      <c r="B8309" t="str">
        <f>"MQ0307"</f>
        <v>MQ0307</v>
      </c>
      <c r="C8309" t="s">
        <v>8173</v>
      </c>
    </row>
    <row r="8310" spans="1:3" x14ac:dyDescent="0.25">
      <c r="A8310" t="str">
        <f>"0611836837025"</f>
        <v>0611836837025</v>
      </c>
      <c r="B8310" t="str">
        <f>"MC1295"</f>
        <v>MC1295</v>
      </c>
      <c r="C8310" t="s">
        <v>8174</v>
      </c>
    </row>
    <row r="8311" spans="1:3" x14ac:dyDescent="0.25">
      <c r="A8311" t="str">
        <f>"0611836838025"</f>
        <v>0611836838025</v>
      </c>
      <c r="B8311" t="str">
        <f>"MQ0522"</f>
        <v>MQ0522</v>
      </c>
      <c r="C8311" t="s">
        <v>8175</v>
      </c>
    </row>
    <row r="8312" spans="1:3" x14ac:dyDescent="0.25">
      <c r="A8312" t="str">
        <f>"0611836839025"</f>
        <v>0611836839025</v>
      </c>
      <c r="B8312" t="str">
        <f>"MQ0523"</f>
        <v>MQ0523</v>
      </c>
      <c r="C8312" t="s">
        <v>8176</v>
      </c>
    </row>
    <row r="8313" spans="1:3" x14ac:dyDescent="0.25">
      <c r="A8313" t="str">
        <f>"0611836840025"</f>
        <v>0611836840025</v>
      </c>
      <c r="B8313" t="str">
        <f>"MQ0524"</f>
        <v>MQ0524</v>
      </c>
      <c r="C8313" t="s">
        <v>8177</v>
      </c>
    </row>
    <row r="8314" spans="1:3" x14ac:dyDescent="0.25">
      <c r="A8314" t="str">
        <f>"0611836841025"</f>
        <v>0611836841025</v>
      </c>
      <c r="B8314" t="str">
        <f>"MC0543"</f>
        <v>MC0543</v>
      </c>
      <c r="C8314" t="s">
        <v>8178</v>
      </c>
    </row>
    <row r="8315" spans="1:3" x14ac:dyDescent="0.25">
      <c r="A8315" t="str">
        <f>"0611836842025"</f>
        <v>0611836842025</v>
      </c>
      <c r="B8315" t="str">
        <f>"MC1570"</f>
        <v>MC1570</v>
      </c>
      <c r="C8315" t="s">
        <v>8179</v>
      </c>
    </row>
    <row r="8316" spans="1:3" x14ac:dyDescent="0.25">
      <c r="A8316" t="str">
        <f>"0611836843025"</f>
        <v>0611836843025</v>
      </c>
      <c r="B8316" t="str">
        <f>"MC0544"</f>
        <v>MC0544</v>
      </c>
      <c r="C8316" t="s">
        <v>8180</v>
      </c>
    </row>
    <row r="8317" spans="1:3" x14ac:dyDescent="0.25">
      <c r="A8317" t="str">
        <f>"0611836844100"</f>
        <v>0611836844100</v>
      </c>
      <c r="B8317" t="str">
        <f>"LH5802"</f>
        <v>LH5802</v>
      </c>
      <c r="C8317" t="s">
        <v>8181</v>
      </c>
    </row>
    <row r="8318" spans="1:3" x14ac:dyDescent="0.25">
      <c r="A8318" t="str">
        <f>"0611836845025"</f>
        <v>0611836845025</v>
      </c>
      <c r="B8318" t="str">
        <f>"MC1297"</f>
        <v>MC1297</v>
      </c>
      <c r="C8318" t="s">
        <v>8182</v>
      </c>
    </row>
    <row r="8319" spans="1:3" x14ac:dyDescent="0.25">
      <c r="A8319" t="str">
        <f>"0611836847025"</f>
        <v>0611836847025</v>
      </c>
      <c r="B8319" t="str">
        <f>"MQ5141"</f>
        <v>MQ5141</v>
      </c>
      <c r="C8319" t="s">
        <v>8183</v>
      </c>
    </row>
    <row r="8320" spans="1:3" x14ac:dyDescent="0.25">
      <c r="A8320" t="str">
        <f>"0611863294100"</f>
        <v>0611863294100</v>
      </c>
      <c r="B8320" t="str">
        <f>"CN5267"</f>
        <v>CN5267</v>
      </c>
      <c r="C8320" t="s">
        <v>8184</v>
      </c>
    </row>
    <row r="8321" spans="1:3" x14ac:dyDescent="0.25">
      <c r="A8321" t="str">
        <f>"0611863295100"</f>
        <v>0611863295100</v>
      </c>
      <c r="B8321" t="str">
        <f>"CN5266"</f>
        <v>CN5266</v>
      </c>
      <c r="C8321" t="s">
        <v>8185</v>
      </c>
    </row>
    <row r="8322" spans="1:3" x14ac:dyDescent="0.25">
      <c r="A8322" t="str">
        <f>"0611863296050"</f>
        <v>0611863296050</v>
      </c>
      <c r="B8322" t="str">
        <f>"CR3804"</f>
        <v>CR3804</v>
      </c>
      <c r="C8322" t="s">
        <v>8186</v>
      </c>
    </row>
    <row r="8323" spans="1:3" x14ac:dyDescent="0.25">
      <c r="A8323" t="str">
        <f>"0611863297100"</f>
        <v>0611863297100</v>
      </c>
      <c r="B8323" t="str">
        <f>"CN5268"</f>
        <v>CN5268</v>
      </c>
      <c r="C8323" t="s">
        <v>8187</v>
      </c>
    </row>
    <row r="8324" spans="1:3" x14ac:dyDescent="0.25">
      <c r="A8324" t="str">
        <f>"0611863298050"</f>
        <v>0611863298050</v>
      </c>
      <c r="B8324" t="str">
        <f>"CR3806"</f>
        <v>CR3806</v>
      </c>
      <c r="C8324" t="s">
        <v>8188</v>
      </c>
    </row>
    <row r="8325" spans="1:3" x14ac:dyDescent="0.25">
      <c r="A8325" t="str">
        <f>"0611836849025"</f>
        <v>0611836849025</v>
      </c>
      <c r="B8325" t="str">
        <f>"MC1659"</f>
        <v>MC1659</v>
      </c>
      <c r="C8325" t="s">
        <v>8189</v>
      </c>
    </row>
    <row r="8326" spans="1:3" x14ac:dyDescent="0.25">
      <c r="A8326" t="str">
        <f>"0611884333025"</f>
        <v>0611884333025</v>
      </c>
      <c r="B8326" t="str">
        <f>"MC4466"</f>
        <v>MC4466</v>
      </c>
      <c r="C8326" t="s">
        <v>8190</v>
      </c>
    </row>
    <row r="8327" spans="1:3" x14ac:dyDescent="0.25">
      <c r="A8327" t="str">
        <f>"0611836850100"</f>
        <v>0611836850100</v>
      </c>
      <c r="B8327" t="str">
        <f>"LF4815"</f>
        <v>LF4815</v>
      </c>
      <c r="C8327" t="s">
        <v>8191</v>
      </c>
    </row>
    <row r="8328" spans="1:3" x14ac:dyDescent="0.25">
      <c r="A8328" t="str">
        <f>"0611857035100"</f>
        <v>0611857035100</v>
      </c>
      <c r="B8328" t="str">
        <f>"LF3491"</f>
        <v>LF3491</v>
      </c>
      <c r="C8328" t="s">
        <v>8192</v>
      </c>
    </row>
    <row r="8329" spans="1:3" x14ac:dyDescent="0.25">
      <c r="A8329" t="str">
        <f>"0611836851100"</f>
        <v>0611836851100</v>
      </c>
      <c r="B8329" t="str">
        <f>"LF0033"</f>
        <v>LF0033</v>
      </c>
      <c r="C8329" t="s">
        <v>8193</v>
      </c>
    </row>
    <row r="8330" spans="1:3" x14ac:dyDescent="0.25">
      <c r="A8330" t="str">
        <f>"0611893637050"</f>
        <v>0611893637050</v>
      </c>
      <c r="B8330" t="str">
        <f>"CA0644"</f>
        <v>CA0644</v>
      </c>
      <c r="C8330" t="s">
        <v>8194</v>
      </c>
    </row>
    <row r="8331" spans="1:3" x14ac:dyDescent="0.25">
      <c r="A8331" t="str">
        <f>"0611836852025"</f>
        <v>0611836852025</v>
      </c>
      <c r="B8331" t="str">
        <f>"MC4154"</f>
        <v>MC4154</v>
      </c>
      <c r="C8331" t="s">
        <v>8195</v>
      </c>
    </row>
    <row r="8332" spans="1:3" x14ac:dyDescent="0.25">
      <c r="A8332" t="str">
        <f>"0611863299050"</f>
        <v>0611863299050</v>
      </c>
      <c r="B8332" t="str">
        <f>"CR3200"</f>
        <v>CR3200</v>
      </c>
      <c r="C8332" t="s">
        <v>8196</v>
      </c>
    </row>
    <row r="8333" spans="1:3" x14ac:dyDescent="0.25">
      <c r="A8333" t="str">
        <f>"0611836853025"</f>
        <v>0611836853025</v>
      </c>
      <c r="B8333" t="str">
        <f>"MC2319"</f>
        <v>MC2319</v>
      </c>
      <c r="C8333" t="s">
        <v>8197</v>
      </c>
    </row>
    <row r="8334" spans="1:3" x14ac:dyDescent="0.25">
      <c r="A8334" t="str">
        <f>"0611893638050"</f>
        <v>0611893638050</v>
      </c>
      <c r="B8334" t="str">
        <f>"CE1772"</f>
        <v>CE1772</v>
      </c>
      <c r="C8334" t="s">
        <v>8198</v>
      </c>
    </row>
    <row r="8335" spans="1:3" x14ac:dyDescent="0.25">
      <c r="A8335" t="str">
        <f>"0611836855025"</f>
        <v>0611836855025</v>
      </c>
      <c r="B8335" t="str">
        <f>"MC4155"</f>
        <v>MC4155</v>
      </c>
      <c r="C8335" t="s">
        <v>8199</v>
      </c>
    </row>
    <row r="8336" spans="1:3" x14ac:dyDescent="0.25">
      <c r="A8336" t="str">
        <f>"0611836856025"</f>
        <v>0611836856025</v>
      </c>
      <c r="B8336" t="str">
        <f>"MC1926"</f>
        <v>MC1926</v>
      </c>
      <c r="C8336" t="s">
        <v>8200</v>
      </c>
    </row>
    <row r="8337" spans="1:3" x14ac:dyDescent="0.25">
      <c r="A8337" t="str">
        <f>"0611836858025"</f>
        <v>0611836858025</v>
      </c>
      <c r="B8337" t="str">
        <f>"MC3227"</f>
        <v>MC3227</v>
      </c>
      <c r="C8337" t="s">
        <v>8201</v>
      </c>
    </row>
    <row r="8338" spans="1:3" x14ac:dyDescent="0.25">
      <c r="A8338" t="str">
        <f>"0611856965025"</f>
        <v>0611856965025</v>
      </c>
      <c r="B8338" t="str">
        <f>"MC4440"</f>
        <v>MC4440</v>
      </c>
      <c r="C8338" t="s">
        <v>8202</v>
      </c>
    </row>
    <row r="8339" spans="1:3" x14ac:dyDescent="0.25">
      <c r="A8339" t="str">
        <f>"0611856966025"</f>
        <v>0611856966025</v>
      </c>
      <c r="B8339" t="str">
        <f>"MC4441"</f>
        <v>MC4441</v>
      </c>
      <c r="C8339" t="s">
        <v>8203</v>
      </c>
    </row>
    <row r="8340" spans="1:3" x14ac:dyDescent="0.25">
      <c r="A8340" t="str">
        <f>"0611834175025"</f>
        <v>0611834175025</v>
      </c>
      <c r="B8340" t="str">
        <f>"MC2542"</f>
        <v>MC2542</v>
      </c>
      <c r="C8340" t="s">
        <v>8204</v>
      </c>
    </row>
    <row r="8341" spans="1:3" x14ac:dyDescent="0.25">
      <c r="A8341" t="str">
        <f>"0611836859100"</f>
        <v>0611836859100</v>
      </c>
      <c r="B8341" t="str">
        <f>"LK5694"</f>
        <v>LK5694</v>
      </c>
      <c r="C8341" t="s">
        <v>8205</v>
      </c>
    </row>
    <row r="8342" spans="1:3" x14ac:dyDescent="0.25">
      <c r="A8342" t="str">
        <f>"0611836861100"</f>
        <v>0611836861100</v>
      </c>
      <c r="B8342" t="str">
        <f>"LK5696"</f>
        <v>LK5696</v>
      </c>
      <c r="C8342" t="s">
        <v>8206</v>
      </c>
    </row>
    <row r="8343" spans="1:3" x14ac:dyDescent="0.25">
      <c r="A8343" t="str">
        <f>"0611834176100"</f>
        <v>0611834176100</v>
      </c>
      <c r="B8343" t="str">
        <f>"LK5697"</f>
        <v>LK5697</v>
      </c>
      <c r="C8343" t="s">
        <v>8207</v>
      </c>
    </row>
    <row r="8344" spans="1:3" x14ac:dyDescent="0.25">
      <c r="A8344" t="str">
        <f>"0611836862100"</f>
        <v>0611836862100</v>
      </c>
      <c r="B8344" t="str">
        <f>"LK5698"</f>
        <v>LK5698</v>
      </c>
      <c r="C8344" t="s">
        <v>8208</v>
      </c>
    </row>
    <row r="8345" spans="1:3" x14ac:dyDescent="0.25">
      <c r="A8345" t="str">
        <f>"0611831912100"</f>
        <v>0611831912100</v>
      </c>
      <c r="B8345" t="str">
        <f>"LL2685"</f>
        <v>LL2685</v>
      </c>
      <c r="C8345" t="s">
        <v>8209</v>
      </c>
    </row>
    <row r="8346" spans="1:3" x14ac:dyDescent="0.25">
      <c r="A8346" t="str">
        <f>"0611831910100"</f>
        <v>0611831910100</v>
      </c>
      <c r="B8346" t="str">
        <f>"LL0001"</f>
        <v>LL0001</v>
      </c>
      <c r="C8346" t="s">
        <v>8210</v>
      </c>
    </row>
    <row r="8347" spans="1:3" x14ac:dyDescent="0.25">
      <c r="A8347" t="str">
        <f>"0611831941100"</f>
        <v>0611831941100</v>
      </c>
      <c r="B8347" t="str">
        <f>"LL2688"</f>
        <v>LL2688</v>
      </c>
      <c r="C8347" t="s">
        <v>8211</v>
      </c>
    </row>
    <row r="8348" spans="1:3" x14ac:dyDescent="0.25">
      <c r="A8348" t="str">
        <f>"0611831944100"</f>
        <v>0611831944100</v>
      </c>
      <c r="B8348" t="str">
        <f>"LL8277"</f>
        <v>LL8277</v>
      </c>
      <c r="C8348" t="s">
        <v>8212</v>
      </c>
    </row>
    <row r="8349" spans="1:3" x14ac:dyDescent="0.25">
      <c r="A8349" t="str">
        <f>"0611831951100"</f>
        <v>0611831951100</v>
      </c>
      <c r="B8349" t="str">
        <f>"LL8203"</f>
        <v>LL8203</v>
      </c>
      <c r="C8349" t="s">
        <v>8213</v>
      </c>
    </row>
    <row r="8350" spans="1:3" x14ac:dyDescent="0.25">
      <c r="A8350" t="str">
        <f>"0611836864025"</f>
        <v>0611836864025</v>
      </c>
      <c r="B8350" t="str">
        <f>"MC4405"</f>
        <v>MC4405</v>
      </c>
      <c r="C8350" t="s">
        <v>8214</v>
      </c>
    </row>
    <row r="8351" spans="1:3" x14ac:dyDescent="0.25">
      <c r="A8351" t="str">
        <f>"0611836865025"</f>
        <v>0611836865025</v>
      </c>
      <c r="B8351" t="str">
        <f>"MC4406"</f>
        <v>MC4406</v>
      </c>
      <c r="C8351" t="s">
        <v>8215</v>
      </c>
    </row>
    <row r="8352" spans="1:3" x14ac:dyDescent="0.25">
      <c r="A8352" t="str">
        <f>"0611836866025"</f>
        <v>0611836866025</v>
      </c>
      <c r="B8352" t="str">
        <f>"MC4407"</f>
        <v>MC4407</v>
      </c>
      <c r="C8352" t="s">
        <v>8216</v>
      </c>
    </row>
    <row r="8353" spans="1:3" x14ac:dyDescent="0.25">
      <c r="A8353" t="str">
        <f>"0611836867025"</f>
        <v>0611836867025</v>
      </c>
      <c r="B8353" t="str">
        <f>"MC3769"</f>
        <v>MC3769</v>
      </c>
      <c r="C8353" t="s">
        <v>8217</v>
      </c>
    </row>
    <row r="8354" spans="1:3" x14ac:dyDescent="0.25">
      <c r="A8354" t="str">
        <f>"0611836868025"</f>
        <v>0611836868025</v>
      </c>
      <c r="B8354" t="str">
        <f>"MC4026"</f>
        <v>MC4026</v>
      </c>
      <c r="C8354" t="s">
        <v>8218</v>
      </c>
    </row>
    <row r="8355" spans="1:3" x14ac:dyDescent="0.25">
      <c r="A8355" t="str">
        <f>"0611836869100"</f>
        <v>0611836869100</v>
      </c>
      <c r="B8355" t="str">
        <f>"LH5855"</f>
        <v>LH5855</v>
      </c>
      <c r="C8355" t="s">
        <v>8219</v>
      </c>
    </row>
    <row r="8356" spans="1:3" x14ac:dyDescent="0.25">
      <c r="A8356" t="str">
        <f>"0611836870025"</f>
        <v>0611836870025</v>
      </c>
      <c r="B8356" t="str">
        <f>"MC0547"</f>
        <v>MC0547</v>
      </c>
      <c r="C8356" t="s">
        <v>8220</v>
      </c>
    </row>
    <row r="8357" spans="1:3" x14ac:dyDescent="0.25">
      <c r="A8357" t="str">
        <f>"0611836871025"</f>
        <v>0611836871025</v>
      </c>
      <c r="B8357" t="str">
        <f>"MC3197"</f>
        <v>MC3197</v>
      </c>
      <c r="C8357" t="s">
        <v>8221</v>
      </c>
    </row>
    <row r="8358" spans="1:3" x14ac:dyDescent="0.25">
      <c r="A8358" t="str">
        <f>"0611836872025"</f>
        <v>0611836872025</v>
      </c>
      <c r="B8358" t="str">
        <f>"MC4318"</f>
        <v>MC4318</v>
      </c>
      <c r="C8358" t="s">
        <v>8222</v>
      </c>
    </row>
    <row r="8359" spans="1:3" x14ac:dyDescent="0.25">
      <c r="A8359" t="str">
        <f>"0611836873025"</f>
        <v>0611836873025</v>
      </c>
      <c r="B8359" t="str">
        <f>"MC4319"</f>
        <v>MC4319</v>
      </c>
      <c r="C8359" t="s">
        <v>8223</v>
      </c>
    </row>
    <row r="8360" spans="1:3" x14ac:dyDescent="0.25">
      <c r="A8360" t="str">
        <f>"0611836874025"</f>
        <v>0611836874025</v>
      </c>
      <c r="B8360" t="str">
        <f>"MC0548"</f>
        <v>MC0548</v>
      </c>
      <c r="C8360" t="s">
        <v>8224</v>
      </c>
    </row>
    <row r="8361" spans="1:3" x14ac:dyDescent="0.25">
      <c r="A8361" t="str">
        <f>"0611836876025"</f>
        <v>0611836876025</v>
      </c>
      <c r="B8361" t="str">
        <f>"MC2844"</f>
        <v>MC2844</v>
      </c>
      <c r="C8361" t="s">
        <v>8225</v>
      </c>
    </row>
    <row r="8362" spans="1:3" x14ac:dyDescent="0.25">
      <c r="A8362" t="str">
        <f>"0611839867100"</f>
        <v>0611839867100</v>
      </c>
      <c r="B8362" t="str">
        <f>"LB5674"</f>
        <v>LB5674</v>
      </c>
      <c r="C8362" t="s">
        <v>8226</v>
      </c>
    </row>
    <row r="8363" spans="1:3" x14ac:dyDescent="0.25">
      <c r="A8363" t="str">
        <f>"0611906853100"</f>
        <v>0611906853100</v>
      </c>
      <c r="B8363" t="str">
        <f>"LK7264"</f>
        <v>LK7264</v>
      </c>
      <c r="C8363" t="s">
        <v>8227</v>
      </c>
    </row>
    <row r="8364" spans="1:3" x14ac:dyDescent="0.25">
      <c r="A8364" t="str">
        <f>"0611839868100"</f>
        <v>0611839868100</v>
      </c>
      <c r="B8364" t="str">
        <f>"LK6589"</f>
        <v>LK6589</v>
      </c>
      <c r="C8364" t="s">
        <v>8228</v>
      </c>
    </row>
    <row r="8365" spans="1:3" x14ac:dyDescent="0.25">
      <c r="A8365" t="str">
        <f>"0611839869100"</f>
        <v>0611839869100</v>
      </c>
      <c r="B8365" t="str">
        <f>"LK0020"</f>
        <v>LK0020</v>
      </c>
      <c r="C8365" t="s">
        <v>8229</v>
      </c>
    </row>
    <row r="8366" spans="1:3" x14ac:dyDescent="0.25">
      <c r="A8366" t="str">
        <f>"0611839870100"</f>
        <v>0611839870100</v>
      </c>
      <c r="B8366" t="str">
        <f>"LB5671"</f>
        <v>LB5671</v>
      </c>
      <c r="C8366" t="s">
        <v>8230</v>
      </c>
    </row>
    <row r="8367" spans="1:3" x14ac:dyDescent="0.25">
      <c r="A8367" t="str">
        <f>"0611839871100"</f>
        <v>0611839871100</v>
      </c>
      <c r="B8367" t="str">
        <f>"LK2673"</f>
        <v>LK2673</v>
      </c>
      <c r="C8367" t="s">
        <v>8231</v>
      </c>
    </row>
    <row r="8368" spans="1:3" x14ac:dyDescent="0.25">
      <c r="A8368" t="str">
        <f>"0611839874100"</f>
        <v>0611839874100</v>
      </c>
      <c r="B8368" t="str">
        <f>"LK0241"</f>
        <v>LK0241</v>
      </c>
      <c r="C8368" t="s">
        <v>8233</v>
      </c>
    </row>
    <row r="8369" spans="1:3" x14ac:dyDescent="0.25">
      <c r="A8369" t="str">
        <f>"0611839873100"</f>
        <v>0611839873100</v>
      </c>
      <c r="B8369" t="str">
        <f>"LB5673"</f>
        <v>LB5673</v>
      </c>
      <c r="C8369" t="s">
        <v>8232</v>
      </c>
    </row>
    <row r="8370" spans="1:3" x14ac:dyDescent="0.25">
      <c r="A8370" t="str">
        <f>"0611839875100"</f>
        <v>0611839875100</v>
      </c>
      <c r="B8370" t="str">
        <f>"LL8269"</f>
        <v>LL8269</v>
      </c>
      <c r="C8370" t="s">
        <v>8234</v>
      </c>
    </row>
    <row r="8371" spans="1:3" x14ac:dyDescent="0.25">
      <c r="A8371" t="str">
        <f>"0611839876100"</f>
        <v>0611839876100</v>
      </c>
      <c r="B8371" t="str">
        <f>"LC8485"</f>
        <v>LC8485</v>
      </c>
      <c r="C8371" t="s">
        <v>8235</v>
      </c>
    </row>
    <row r="8372" spans="1:3" x14ac:dyDescent="0.25">
      <c r="A8372" t="str">
        <f>"0611839878100"</f>
        <v>0611839878100</v>
      </c>
      <c r="B8372" t="str">
        <f>"LB5680"</f>
        <v>LB5680</v>
      </c>
      <c r="C8372" t="s">
        <v>8236</v>
      </c>
    </row>
    <row r="8373" spans="1:3" x14ac:dyDescent="0.25">
      <c r="A8373" t="str">
        <f>"0611839879100"</f>
        <v>0611839879100</v>
      </c>
      <c r="B8373" t="str">
        <f>"LK6967"</f>
        <v>LK6967</v>
      </c>
      <c r="C8373" t="s">
        <v>8237</v>
      </c>
    </row>
    <row r="8374" spans="1:3" x14ac:dyDescent="0.25">
      <c r="A8374" t="str">
        <f>"0611839880100"</f>
        <v>0611839880100</v>
      </c>
      <c r="B8374" t="str">
        <f>"LB5676"</f>
        <v>LB5676</v>
      </c>
      <c r="C8374" t="s">
        <v>8238</v>
      </c>
    </row>
    <row r="8375" spans="1:3" x14ac:dyDescent="0.25">
      <c r="A8375" t="str">
        <f>"0611836884100"</f>
        <v>0611836884100</v>
      </c>
      <c r="B8375" t="str">
        <f>"LC9580"</f>
        <v>LC9580</v>
      </c>
      <c r="C8375" t="s">
        <v>8239</v>
      </c>
    </row>
    <row r="8376" spans="1:3" x14ac:dyDescent="0.25">
      <c r="A8376" t="str">
        <f>"0611839881100"</f>
        <v>0611839881100</v>
      </c>
      <c r="B8376" t="str">
        <f>"LB5670"</f>
        <v>LB5670</v>
      </c>
      <c r="C8376" t="s">
        <v>8240</v>
      </c>
    </row>
    <row r="8377" spans="1:3" x14ac:dyDescent="0.25">
      <c r="A8377" t="str">
        <f>"0611836885100"</f>
        <v>0611836885100</v>
      </c>
      <c r="B8377" t="str">
        <f>"LF7600"</f>
        <v>LF7600</v>
      </c>
      <c r="C8377" t="s">
        <v>8241</v>
      </c>
    </row>
    <row r="8378" spans="1:3" x14ac:dyDescent="0.25">
      <c r="A8378" t="str">
        <f>"0611863301050"</f>
        <v>0611863301050</v>
      </c>
      <c r="B8378" t="str">
        <f>"CR2389"</f>
        <v>CR2389</v>
      </c>
      <c r="C8378" t="s">
        <v>8242</v>
      </c>
    </row>
    <row r="8379" spans="1:3" x14ac:dyDescent="0.25">
      <c r="A8379" t="str">
        <f>"0611863302050"</f>
        <v>0611863302050</v>
      </c>
      <c r="B8379" t="str">
        <f>"CR5061"</f>
        <v>CR5061</v>
      </c>
      <c r="C8379" t="s">
        <v>8243</v>
      </c>
    </row>
    <row r="8380" spans="1:3" x14ac:dyDescent="0.25">
      <c r="A8380" t="str">
        <f>"0611863303050"</f>
        <v>0611863303050</v>
      </c>
      <c r="B8380" t="str">
        <f>"CR5206"</f>
        <v>CR5206</v>
      </c>
      <c r="C8380" t="s">
        <v>8244</v>
      </c>
    </row>
    <row r="8381" spans="1:3" x14ac:dyDescent="0.25">
      <c r="A8381" t="str">
        <f>"0611863304050"</f>
        <v>0611863304050</v>
      </c>
      <c r="B8381" t="str">
        <f>"CR5207"</f>
        <v>CR5207</v>
      </c>
      <c r="C8381" t="s">
        <v>8245</v>
      </c>
    </row>
    <row r="8382" spans="1:3" x14ac:dyDescent="0.25">
      <c r="A8382" t="str">
        <f>"0611863305050"</f>
        <v>0611863305050</v>
      </c>
      <c r="B8382" t="str">
        <f>"CR5208"</f>
        <v>CR5208</v>
      </c>
      <c r="C8382" t="s">
        <v>8246</v>
      </c>
    </row>
    <row r="8383" spans="1:3" x14ac:dyDescent="0.25">
      <c r="A8383" t="str">
        <f>"0611863306050"</f>
        <v>0611863306050</v>
      </c>
      <c r="B8383" t="str">
        <f>"CR2390"</f>
        <v>CR2390</v>
      </c>
      <c r="C8383" t="s">
        <v>8247</v>
      </c>
    </row>
    <row r="8384" spans="1:3" x14ac:dyDescent="0.25">
      <c r="A8384" t="str">
        <f>"0611863307050"</f>
        <v>0611863307050</v>
      </c>
      <c r="B8384" t="str">
        <f>"CR2391"</f>
        <v>CR2391</v>
      </c>
      <c r="C8384" t="s">
        <v>8248</v>
      </c>
    </row>
    <row r="8385" spans="1:3" x14ac:dyDescent="0.25">
      <c r="A8385" t="str">
        <f>"0611863308050"</f>
        <v>0611863308050</v>
      </c>
      <c r="B8385" t="str">
        <f>"CR3995"</f>
        <v>CR3995</v>
      </c>
      <c r="C8385" t="s">
        <v>8249</v>
      </c>
    </row>
    <row r="8386" spans="1:3" x14ac:dyDescent="0.25">
      <c r="A8386" t="str">
        <f>"0611863309050"</f>
        <v>0611863309050</v>
      </c>
      <c r="B8386" t="str">
        <f>"CR2392"</f>
        <v>CR2392</v>
      </c>
      <c r="C8386" t="s">
        <v>8250</v>
      </c>
    </row>
    <row r="8387" spans="1:3" x14ac:dyDescent="0.25">
      <c r="A8387" t="str">
        <f>"0611863311050"</f>
        <v>0611863311050</v>
      </c>
      <c r="B8387" t="str">
        <f>"CR5209"</f>
        <v>CR5209</v>
      </c>
      <c r="C8387" t="s">
        <v>8251</v>
      </c>
    </row>
    <row r="8388" spans="1:3" x14ac:dyDescent="0.25">
      <c r="A8388" t="str">
        <f>"0611836886100"</f>
        <v>0611836886100</v>
      </c>
      <c r="B8388" t="str">
        <f>"LK5659"</f>
        <v>LK5659</v>
      </c>
      <c r="C8388" t="s">
        <v>8252</v>
      </c>
    </row>
    <row r="8389" spans="1:3" x14ac:dyDescent="0.25">
      <c r="A8389" t="str">
        <f>"0611836887100"</f>
        <v>0611836887100</v>
      </c>
      <c r="B8389" t="str">
        <f>"LK5660"</f>
        <v>LK5660</v>
      </c>
      <c r="C8389" t="s">
        <v>8253</v>
      </c>
    </row>
    <row r="8390" spans="1:3" x14ac:dyDescent="0.25">
      <c r="A8390" t="str">
        <f>"0611836889100"</f>
        <v>0611836889100</v>
      </c>
      <c r="B8390" t="str">
        <f>"LK5661"</f>
        <v>LK5661</v>
      </c>
      <c r="C8390" t="s">
        <v>8254</v>
      </c>
    </row>
    <row r="8391" spans="1:3" x14ac:dyDescent="0.25">
      <c r="A8391" t="str">
        <f>"0611836888100"</f>
        <v>0611836888100</v>
      </c>
      <c r="B8391" t="str">
        <f>"LK5820"</f>
        <v>LK5820</v>
      </c>
      <c r="C8391" t="s">
        <v>8255</v>
      </c>
    </row>
    <row r="8392" spans="1:3" x14ac:dyDescent="0.25">
      <c r="A8392" t="str">
        <f>"0611857036100"</f>
        <v>0611857036100</v>
      </c>
      <c r="B8392" t="str">
        <f>"LQ3873"</f>
        <v>LQ3873</v>
      </c>
      <c r="C8392" t="s">
        <v>8256</v>
      </c>
    </row>
    <row r="8393" spans="1:3" x14ac:dyDescent="0.25">
      <c r="A8393" t="str">
        <f>"0611863312050"</f>
        <v>0611863312050</v>
      </c>
      <c r="B8393" t="str">
        <f>"CR4828"</f>
        <v>CR4828</v>
      </c>
      <c r="C8393" t="s">
        <v>8257</v>
      </c>
    </row>
    <row r="8394" spans="1:3" x14ac:dyDescent="0.25">
      <c r="A8394" t="str">
        <f>"0611836891100"</f>
        <v>0611836891100</v>
      </c>
      <c r="B8394" t="str">
        <f>"LK2601"</f>
        <v>LK2601</v>
      </c>
      <c r="C8394" t="s">
        <v>8258</v>
      </c>
    </row>
    <row r="8395" spans="1:3" x14ac:dyDescent="0.25">
      <c r="A8395" t="str">
        <f>"0611863313050"</f>
        <v>0611863313050</v>
      </c>
      <c r="B8395" t="str">
        <f>"CR4829"</f>
        <v>CR4829</v>
      </c>
      <c r="C8395" t="s">
        <v>8259</v>
      </c>
    </row>
    <row r="8396" spans="1:3" x14ac:dyDescent="0.25">
      <c r="A8396" t="str">
        <f>"0611863314050"</f>
        <v>0611863314050</v>
      </c>
      <c r="B8396" t="str">
        <f>"CR4830"</f>
        <v>CR4830</v>
      </c>
      <c r="C8396" t="s">
        <v>8260</v>
      </c>
    </row>
    <row r="8397" spans="1:3" x14ac:dyDescent="0.25">
      <c r="A8397" t="str">
        <f>"0611836892100"</f>
        <v>0611836892100</v>
      </c>
      <c r="B8397" t="str">
        <f>"LQ3758"</f>
        <v>LQ3758</v>
      </c>
      <c r="C8397" t="s">
        <v>8261</v>
      </c>
    </row>
    <row r="8398" spans="1:3" x14ac:dyDescent="0.25">
      <c r="A8398" t="str">
        <f>"0611857037100"</f>
        <v>0611857037100</v>
      </c>
      <c r="B8398" t="str">
        <f>"LQ3874"</f>
        <v>LQ3874</v>
      </c>
      <c r="C8398" t="s">
        <v>8262</v>
      </c>
    </row>
    <row r="8399" spans="1:3" x14ac:dyDescent="0.25">
      <c r="A8399" t="str">
        <f>"0611836893100"</f>
        <v>0611836893100</v>
      </c>
      <c r="B8399" t="str">
        <f>"LB5757"</f>
        <v>LB5757</v>
      </c>
      <c r="C8399" t="s">
        <v>8263</v>
      </c>
    </row>
    <row r="8400" spans="1:3" x14ac:dyDescent="0.25">
      <c r="A8400" t="str">
        <f>"0611836897025"</f>
        <v>0611836897025</v>
      </c>
      <c r="B8400" t="str">
        <f>"MC1436"</f>
        <v>MC1436</v>
      </c>
      <c r="C8400" t="s">
        <v>8264</v>
      </c>
    </row>
    <row r="8401" spans="1:3" x14ac:dyDescent="0.25">
      <c r="A8401" t="str">
        <f>"0611836894100"</f>
        <v>0611836894100</v>
      </c>
      <c r="B8401" t="str">
        <f>"LQ0850"</f>
        <v>LQ0850</v>
      </c>
      <c r="C8401" t="s">
        <v>8265</v>
      </c>
    </row>
    <row r="8402" spans="1:3" x14ac:dyDescent="0.25">
      <c r="A8402" t="str">
        <f>"0611836898100"</f>
        <v>0611836898100</v>
      </c>
      <c r="B8402" t="str">
        <f>"LK6834"</f>
        <v>LK6834</v>
      </c>
      <c r="C8402" t="s">
        <v>8266</v>
      </c>
    </row>
    <row r="8403" spans="1:3" x14ac:dyDescent="0.25">
      <c r="A8403" t="str">
        <f>"0611836896100"</f>
        <v>0611836896100</v>
      </c>
      <c r="B8403" t="str">
        <f>"LK6755"</f>
        <v>LK6755</v>
      </c>
      <c r="C8403" t="s">
        <v>8267</v>
      </c>
    </row>
    <row r="8404" spans="1:3" x14ac:dyDescent="0.25">
      <c r="A8404" t="str">
        <f>"0611836900100"</f>
        <v>0611836900100</v>
      </c>
      <c r="B8404" t="str">
        <f>"LQ6071"</f>
        <v>LQ6071</v>
      </c>
      <c r="C8404" t="s">
        <v>8268</v>
      </c>
    </row>
    <row r="8405" spans="1:3" x14ac:dyDescent="0.25">
      <c r="A8405" t="str">
        <f>"0611836901100"</f>
        <v>0611836901100</v>
      </c>
      <c r="B8405" t="str">
        <f>"LQ6201"</f>
        <v>LQ6201</v>
      </c>
      <c r="C8405" t="s">
        <v>8269</v>
      </c>
    </row>
    <row r="8406" spans="1:3" x14ac:dyDescent="0.25">
      <c r="A8406" t="str">
        <f>"0611836902100"</f>
        <v>0611836902100</v>
      </c>
      <c r="B8406" t="str">
        <f>"LQ6025"</f>
        <v>LQ6025</v>
      </c>
      <c r="C8406" t="s">
        <v>8270</v>
      </c>
    </row>
    <row r="8407" spans="1:3" x14ac:dyDescent="0.25">
      <c r="A8407" t="str">
        <f>"0611836903100"</f>
        <v>0611836903100</v>
      </c>
      <c r="B8407" t="str">
        <f>"LQ5527"</f>
        <v>LQ5527</v>
      </c>
      <c r="C8407" t="s">
        <v>8271</v>
      </c>
    </row>
    <row r="8408" spans="1:3" x14ac:dyDescent="0.25">
      <c r="A8408" t="str">
        <f>"0611836904100"</f>
        <v>0611836904100</v>
      </c>
      <c r="B8408" t="str">
        <f>"LQ0958"</f>
        <v>LQ0958</v>
      </c>
      <c r="C8408" t="s">
        <v>8272</v>
      </c>
    </row>
    <row r="8409" spans="1:3" x14ac:dyDescent="0.25">
      <c r="A8409" t="str">
        <f>"0611857038100"</f>
        <v>0611857038100</v>
      </c>
      <c r="B8409" t="str">
        <f>"LQ6252"</f>
        <v>LQ6252</v>
      </c>
      <c r="C8409" t="s">
        <v>8273</v>
      </c>
    </row>
    <row r="8410" spans="1:3" x14ac:dyDescent="0.25">
      <c r="A8410" t="str">
        <f>"0611836906100"</f>
        <v>0611836906100</v>
      </c>
      <c r="B8410" t="str">
        <f>"LQ5964"</f>
        <v>LQ5964</v>
      </c>
      <c r="C8410" t="s">
        <v>8274</v>
      </c>
    </row>
    <row r="8411" spans="1:3" x14ac:dyDescent="0.25">
      <c r="A8411" t="str">
        <f>"0611836907100"</f>
        <v>0611836907100</v>
      </c>
      <c r="B8411" t="str">
        <f>"LQ6026"</f>
        <v>LQ6026</v>
      </c>
      <c r="C8411" t="s">
        <v>8275</v>
      </c>
    </row>
    <row r="8412" spans="1:3" x14ac:dyDescent="0.25">
      <c r="A8412" t="str">
        <f>"0611836908100"</f>
        <v>0611836908100</v>
      </c>
      <c r="B8412" t="str">
        <f>"LQ5965"</f>
        <v>LQ5965</v>
      </c>
      <c r="C8412" t="s">
        <v>8276</v>
      </c>
    </row>
    <row r="8413" spans="1:3" x14ac:dyDescent="0.25">
      <c r="A8413" t="str">
        <f>"0611906854100"</f>
        <v>0611906854100</v>
      </c>
      <c r="B8413" t="str">
        <f>"LQ6319"</f>
        <v>LQ6319</v>
      </c>
      <c r="C8413" t="s">
        <v>8277</v>
      </c>
    </row>
    <row r="8414" spans="1:3" x14ac:dyDescent="0.25">
      <c r="A8414" t="str">
        <f>"0611836909100"</f>
        <v>0611836909100</v>
      </c>
      <c r="B8414" t="str">
        <f>"LQ5966"</f>
        <v>LQ5966</v>
      </c>
      <c r="C8414" t="s">
        <v>8278</v>
      </c>
    </row>
    <row r="8415" spans="1:3" x14ac:dyDescent="0.25">
      <c r="A8415" t="str">
        <f>"0611836910100"</f>
        <v>0611836910100</v>
      </c>
      <c r="B8415" t="str">
        <f>"LQ6202"</f>
        <v>LQ6202</v>
      </c>
      <c r="C8415" t="s">
        <v>8279</v>
      </c>
    </row>
    <row r="8416" spans="1:3" x14ac:dyDescent="0.25">
      <c r="A8416" t="str">
        <f>"0611836911100"</f>
        <v>0611836911100</v>
      </c>
      <c r="B8416" t="str">
        <f>"LQ3473"</f>
        <v>LQ3473</v>
      </c>
      <c r="C8416" t="s">
        <v>8280</v>
      </c>
    </row>
    <row r="8417" spans="1:3" x14ac:dyDescent="0.25">
      <c r="A8417" t="str">
        <f>"0611863315050"</f>
        <v>0611863315050</v>
      </c>
      <c r="B8417" t="str">
        <f>"CR2984"</f>
        <v>CR2984</v>
      </c>
      <c r="C8417" t="s">
        <v>8281</v>
      </c>
    </row>
    <row r="8418" spans="1:3" x14ac:dyDescent="0.25">
      <c r="A8418" t="str">
        <f>"0611836912100"</f>
        <v>0611836912100</v>
      </c>
      <c r="B8418" t="str">
        <f>"LQ3475"</f>
        <v>LQ3475</v>
      </c>
      <c r="C8418" t="s">
        <v>8282</v>
      </c>
    </row>
    <row r="8419" spans="1:3" x14ac:dyDescent="0.25">
      <c r="A8419" t="str">
        <f>"0611863316050"</f>
        <v>0611863316050</v>
      </c>
      <c r="B8419" t="str">
        <f>"CR3447"</f>
        <v>CR3447</v>
      </c>
      <c r="C8419" t="s">
        <v>8283</v>
      </c>
    </row>
    <row r="8420" spans="1:3" x14ac:dyDescent="0.25">
      <c r="A8420" t="str">
        <f>"0611836913100"</f>
        <v>0611836913100</v>
      </c>
      <c r="B8420" t="str">
        <f>"LQ3476"</f>
        <v>LQ3476</v>
      </c>
      <c r="C8420" t="s">
        <v>8284</v>
      </c>
    </row>
    <row r="8421" spans="1:3" x14ac:dyDescent="0.25">
      <c r="A8421" t="str">
        <f>"0611836914100"</f>
        <v>0611836914100</v>
      </c>
      <c r="B8421" t="str">
        <f>"LQ3477"</f>
        <v>LQ3477</v>
      </c>
      <c r="C8421" t="s">
        <v>8285</v>
      </c>
    </row>
    <row r="8422" spans="1:3" x14ac:dyDescent="0.25">
      <c r="A8422" t="str">
        <f>"0611836915100"</f>
        <v>0611836915100</v>
      </c>
      <c r="B8422" t="str">
        <f>"LQ3478"</f>
        <v>LQ3478</v>
      </c>
      <c r="C8422" t="s">
        <v>8286</v>
      </c>
    </row>
    <row r="8423" spans="1:3" x14ac:dyDescent="0.25">
      <c r="A8423" t="str">
        <f>"0611836916100"</f>
        <v>0611836916100</v>
      </c>
      <c r="B8423" t="str">
        <f>"LQ3479"</f>
        <v>LQ3479</v>
      </c>
      <c r="C8423" t="s">
        <v>8287</v>
      </c>
    </row>
    <row r="8424" spans="1:3" x14ac:dyDescent="0.25">
      <c r="A8424" t="str">
        <f>"0611863317050"</f>
        <v>0611863317050</v>
      </c>
      <c r="B8424" t="str">
        <f>"CR3549"</f>
        <v>CR3549</v>
      </c>
      <c r="C8424" t="s">
        <v>8288</v>
      </c>
    </row>
    <row r="8425" spans="1:3" x14ac:dyDescent="0.25">
      <c r="A8425" t="str">
        <f>"0611836917100"</f>
        <v>0611836917100</v>
      </c>
      <c r="B8425" t="str">
        <f>"LQ3807"</f>
        <v>LQ3807</v>
      </c>
      <c r="C8425" t="s">
        <v>8289</v>
      </c>
    </row>
    <row r="8426" spans="1:3" x14ac:dyDescent="0.25">
      <c r="A8426" t="str">
        <f>"0611863318050"</f>
        <v>0611863318050</v>
      </c>
      <c r="B8426" t="str">
        <f>"CR2980"</f>
        <v>CR2980</v>
      </c>
      <c r="C8426" t="s">
        <v>8290</v>
      </c>
    </row>
    <row r="8427" spans="1:3" x14ac:dyDescent="0.25">
      <c r="A8427" t="str">
        <f>"0611863319050"</f>
        <v>0611863319050</v>
      </c>
      <c r="B8427" t="str">
        <f>"CR4831"</f>
        <v>CR4831</v>
      </c>
      <c r="C8427" t="s">
        <v>8291</v>
      </c>
    </row>
    <row r="8428" spans="1:3" x14ac:dyDescent="0.25">
      <c r="A8428" t="str">
        <f>"0611836918100"</f>
        <v>0611836918100</v>
      </c>
      <c r="B8428" t="str">
        <f>"LK1968"</f>
        <v>LK1968</v>
      </c>
      <c r="C8428" t="s">
        <v>8292</v>
      </c>
    </row>
    <row r="8429" spans="1:3" x14ac:dyDescent="0.25">
      <c r="A8429" t="str">
        <f>"0611836919100"</f>
        <v>0611836919100</v>
      </c>
      <c r="B8429" t="str">
        <f>"LK4855"</f>
        <v>LK4855</v>
      </c>
      <c r="C8429" t="s">
        <v>8293</v>
      </c>
    </row>
    <row r="8430" spans="1:3" x14ac:dyDescent="0.25">
      <c r="A8430" t="str">
        <f>"0611836921100"</f>
        <v>0611836921100</v>
      </c>
      <c r="B8430" t="str">
        <f>"LK6807"</f>
        <v>LK6807</v>
      </c>
      <c r="C8430" t="s">
        <v>8294</v>
      </c>
    </row>
    <row r="8431" spans="1:3" x14ac:dyDescent="0.25">
      <c r="A8431" t="str">
        <f>"0611836922100"</f>
        <v>0611836922100</v>
      </c>
      <c r="B8431" t="str">
        <f>"LK6808"</f>
        <v>LK6808</v>
      </c>
      <c r="C8431" t="s">
        <v>8295</v>
      </c>
    </row>
    <row r="8432" spans="1:3" x14ac:dyDescent="0.25">
      <c r="A8432" t="str">
        <f>"0611863320050"</f>
        <v>0611863320050</v>
      </c>
      <c r="B8432" t="str">
        <f>"CR4832"</f>
        <v>CR4832</v>
      </c>
      <c r="C8432" t="s">
        <v>8296</v>
      </c>
    </row>
    <row r="8433" spans="1:3" x14ac:dyDescent="0.25">
      <c r="A8433" t="str">
        <f>"0611836923100"</f>
        <v>0611836923100</v>
      </c>
      <c r="B8433" t="str">
        <f>"LK6092"</f>
        <v>LK6092</v>
      </c>
      <c r="C8433" t="s">
        <v>8297</v>
      </c>
    </row>
    <row r="8434" spans="1:3" x14ac:dyDescent="0.25">
      <c r="A8434" t="str">
        <f>"0611863321050"</f>
        <v>0611863321050</v>
      </c>
      <c r="B8434" t="str">
        <f>"CR4833"</f>
        <v>CR4833</v>
      </c>
      <c r="C8434" t="s">
        <v>8298</v>
      </c>
    </row>
    <row r="8435" spans="1:3" x14ac:dyDescent="0.25">
      <c r="A8435" t="str">
        <f>"0611863322050"</f>
        <v>0611863322050</v>
      </c>
      <c r="B8435" t="str">
        <f>"CR4834"</f>
        <v>CR4834</v>
      </c>
      <c r="C8435" t="s">
        <v>8299</v>
      </c>
    </row>
    <row r="8436" spans="1:3" x14ac:dyDescent="0.25">
      <c r="A8436" t="str">
        <f>"0611836926100"</f>
        <v>0611836926100</v>
      </c>
      <c r="B8436" t="str">
        <f>"LB5756"</f>
        <v>LB5756</v>
      </c>
      <c r="C8436" t="s">
        <v>8300</v>
      </c>
    </row>
    <row r="8437" spans="1:3" x14ac:dyDescent="0.25">
      <c r="A8437" t="str">
        <f>"0611836930025"</f>
        <v>0611836930025</v>
      </c>
      <c r="B8437" t="str">
        <f>"MQ6057"</f>
        <v>MQ6057</v>
      </c>
      <c r="C8437" t="s">
        <v>8301</v>
      </c>
    </row>
    <row r="8438" spans="1:3" x14ac:dyDescent="0.25">
      <c r="A8438" t="str">
        <f>"0611836931025"</f>
        <v>0611836931025</v>
      </c>
      <c r="B8438" t="str">
        <f>"MC4226"</f>
        <v>MC4226</v>
      </c>
      <c r="C8438" t="s">
        <v>8302</v>
      </c>
    </row>
    <row r="8439" spans="1:3" x14ac:dyDescent="0.25">
      <c r="A8439" t="str">
        <f>"0611836932025"</f>
        <v>0611836932025</v>
      </c>
      <c r="B8439" t="str">
        <f>"MC0549"</f>
        <v>MC0549</v>
      </c>
      <c r="C8439" t="s">
        <v>8303</v>
      </c>
    </row>
    <row r="8440" spans="1:3" x14ac:dyDescent="0.25">
      <c r="A8440" t="str">
        <f>"0611836933100"</f>
        <v>0611836933100</v>
      </c>
      <c r="B8440" t="str">
        <f>"LC5420"</f>
        <v>LC5420</v>
      </c>
      <c r="C8440" t="s">
        <v>8304</v>
      </c>
    </row>
    <row r="8441" spans="1:3" x14ac:dyDescent="0.25">
      <c r="A8441" t="str">
        <f>"0611836934100"</f>
        <v>0611836934100</v>
      </c>
      <c r="B8441" t="str">
        <f>"LC5615"</f>
        <v>LC5615</v>
      </c>
      <c r="C8441" t="s">
        <v>8305</v>
      </c>
    </row>
    <row r="8442" spans="1:3" x14ac:dyDescent="0.25">
      <c r="A8442" t="str">
        <f>"0611836935025"</f>
        <v>0611836935025</v>
      </c>
      <c r="B8442" t="str">
        <f>"MC0780"</f>
        <v>MC0780</v>
      </c>
      <c r="C8442" t="s">
        <v>8306</v>
      </c>
    </row>
    <row r="8443" spans="1:3" x14ac:dyDescent="0.25">
      <c r="A8443" t="str">
        <f>"0611884334025"</f>
        <v>0611884334025</v>
      </c>
      <c r="B8443" t="str">
        <f>"MQ0835"</f>
        <v>MQ0835</v>
      </c>
      <c r="C8443" t="s">
        <v>8307</v>
      </c>
    </row>
    <row r="8444" spans="1:3" x14ac:dyDescent="0.25">
      <c r="A8444" t="str">
        <f>"0611836936025"</f>
        <v>0611836936025</v>
      </c>
      <c r="B8444" t="str">
        <f>"MC1573"</f>
        <v>MC1573</v>
      </c>
      <c r="C8444" t="s">
        <v>8308</v>
      </c>
    </row>
    <row r="8445" spans="1:3" x14ac:dyDescent="0.25">
      <c r="A8445" t="str">
        <f>"0611863323100"</f>
        <v>0611863323100</v>
      </c>
      <c r="B8445" t="str">
        <f>"CN5270"</f>
        <v>CN5270</v>
      </c>
      <c r="C8445" t="s">
        <v>8310</v>
      </c>
    </row>
    <row r="8446" spans="1:3" x14ac:dyDescent="0.25">
      <c r="A8446" t="str">
        <f>"0611836937025"</f>
        <v>0611836937025</v>
      </c>
      <c r="B8446" t="str">
        <f>"MQ5128"</f>
        <v>MQ5128</v>
      </c>
      <c r="C8446" t="s">
        <v>8311</v>
      </c>
    </row>
    <row r="8447" spans="1:3" x14ac:dyDescent="0.25">
      <c r="A8447" t="str">
        <f>"0611836938025"</f>
        <v>0611836938025</v>
      </c>
      <c r="B8447" t="str">
        <f>"MC3158"</f>
        <v>MC3158</v>
      </c>
      <c r="C8447" t="s">
        <v>8312</v>
      </c>
    </row>
    <row r="8448" spans="1:3" x14ac:dyDescent="0.25">
      <c r="A8448" t="str">
        <f>"0611836939100"</f>
        <v>0611836939100</v>
      </c>
      <c r="B8448" t="str">
        <f>"LH8847"</f>
        <v>LH8847</v>
      </c>
      <c r="C8448" t="s">
        <v>8313</v>
      </c>
    </row>
    <row r="8449" spans="1:3" x14ac:dyDescent="0.25">
      <c r="A8449" t="str">
        <f>"0611906855025"</f>
        <v>0611906855025</v>
      </c>
      <c r="B8449" t="str">
        <f>"MQ7603"</f>
        <v>MQ7603</v>
      </c>
      <c r="C8449" t="s">
        <v>8314</v>
      </c>
    </row>
    <row r="8450" spans="1:3" x14ac:dyDescent="0.25">
      <c r="A8450" t="str">
        <f>"0611836940025"</f>
        <v>0611836940025</v>
      </c>
      <c r="B8450" t="str">
        <f>"MQ0725"</f>
        <v>MQ0725</v>
      </c>
      <c r="C8450" t="s">
        <v>8315</v>
      </c>
    </row>
    <row r="8451" spans="1:3" x14ac:dyDescent="0.25">
      <c r="A8451" t="str">
        <f>"0611836941025"</f>
        <v>0611836941025</v>
      </c>
      <c r="B8451" t="str">
        <f>"MC2971"</f>
        <v>MC2971</v>
      </c>
      <c r="C8451" t="s">
        <v>8316</v>
      </c>
    </row>
    <row r="8452" spans="1:3" x14ac:dyDescent="0.25">
      <c r="A8452" t="str">
        <f>"0611836943025"</f>
        <v>0611836943025</v>
      </c>
      <c r="B8452" t="str">
        <f>"MQ0554"</f>
        <v>MQ0554</v>
      </c>
      <c r="C8452" t="s">
        <v>8317</v>
      </c>
    </row>
    <row r="8453" spans="1:3" x14ac:dyDescent="0.25">
      <c r="A8453" t="str">
        <f>"0611836944025"</f>
        <v>0611836944025</v>
      </c>
      <c r="B8453" t="str">
        <f>"MQ0726"</f>
        <v>MQ0726</v>
      </c>
      <c r="C8453" t="s">
        <v>8318</v>
      </c>
    </row>
    <row r="8454" spans="1:3" x14ac:dyDescent="0.25">
      <c r="A8454" t="str">
        <f>"0611836945025"</f>
        <v>0611836945025</v>
      </c>
      <c r="B8454" t="str">
        <f>"MQ6058"</f>
        <v>MQ6058</v>
      </c>
      <c r="C8454" t="s">
        <v>8319</v>
      </c>
    </row>
    <row r="8455" spans="1:3" x14ac:dyDescent="0.25">
      <c r="A8455" t="str">
        <f>"0611836946025"</f>
        <v>0611836946025</v>
      </c>
      <c r="B8455" t="str">
        <f>"MC0550"</f>
        <v>MC0550</v>
      </c>
      <c r="C8455" t="s">
        <v>8320</v>
      </c>
    </row>
    <row r="8456" spans="1:3" x14ac:dyDescent="0.25">
      <c r="A8456" t="str">
        <f>"0611863324100"</f>
        <v>0611863324100</v>
      </c>
      <c r="B8456" t="str">
        <f>"CN5271"</f>
        <v>CN5271</v>
      </c>
      <c r="C8456" t="s">
        <v>8321</v>
      </c>
    </row>
    <row r="8457" spans="1:3" x14ac:dyDescent="0.25">
      <c r="A8457" t="str">
        <f>"0611836947025"</f>
        <v>0611836947025</v>
      </c>
      <c r="B8457" t="str">
        <f>"MC1303"</f>
        <v>MC1303</v>
      </c>
      <c r="C8457" t="s">
        <v>8322</v>
      </c>
    </row>
    <row r="8458" spans="1:3" x14ac:dyDescent="0.25">
      <c r="A8458" t="str">
        <f>"0611863325050"</f>
        <v>0611863325050</v>
      </c>
      <c r="B8458" t="str">
        <f>"CR4387"</f>
        <v>CR4387</v>
      </c>
      <c r="C8458" t="s">
        <v>8323</v>
      </c>
    </row>
    <row r="8459" spans="1:3" x14ac:dyDescent="0.25">
      <c r="A8459" t="str">
        <f>"0611836948025"</f>
        <v>0611836948025</v>
      </c>
      <c r="B8459" t="str">
        <f>"MQ0651"</f>
        <v>MQ0651</v>
      </c>
      <c r="C8459" t="s">
        <v>8324</v>
      </c>
    </row>
    <row r="8460" spans="1:3" x14ac:dyDescent="0.25">
      <c r="A8460" t="str">
        <f>"0611836949025"</f>
        <v>0611836949025</v>
      </c>
      <c r="B8460" t="str">
        <f>"MQ0652"</f>
        <v>MQ0652</v>
      </c>
      <c r="C8460" t="s">
        <v>8325</v>
      </c>
    </row>
    <row r="8461" spans="1:3" x14ac:dyDescent="0.25">
      <c r="A8461" t="str">
        <f>"0611836950025"</f>
        <v>0611836950025</v>
      </c>
      <c r="B8461" t="str">
        <f>"MC0896"</f>
        <v>MC0896</v>
      </c>
      <c r="C8461" t="s">
        <v>8309</v>
      </c>
    </row>
    <row r="8462" spans="1:3" x14ac:dyDescent="0.25">
      <c r="A8462" t="str">
        <f>"0611836953100"</f>
        <v>0611836953100</v>
      </c>
      <c r="B8462" t="str">
        <f>"LK1292"</f>
        <v>LK1292</v>
      </c>
      <c r="C8462" t="s">
        <v>8326</v>
      </c>
    </row>
    <row r="8463" spans="1:3" x14ac:dyDescent="0.25">
      <c r="A8463" t="str">
        <f>"0611836954100"</f>
        <v>0611836954100</v>
      </c>
      <c r="B8463" t="str">
        <f>"LB5700"</f>
        <v>LB5700</v>
      </c>
      <c r="C8463" t="s">
        <v>8327</v>
      </c>
    </row>
    <row r="8464" spans="1:3" x14ac:dyDescent="0.25">
      <c r="A8464" t="str">
        <f>"0611836955100"</f>
        <v>0611836955100</v>
      </c>
      <c r="B8464" t="str">
        <f>"LB5749"</f>
        <v>LB5749</v>
      </c>
      <c r="C8464" t="s">
        <v>8328</v>
      </c>
    </row>
    <row r="8465" spans="1:3" x14ac:dyDescent="0.25">
      <c r="A8465" t="str">
        <f>"0611836956100"</f>
        <v>0611836956100</v>
      </c>
      <c r="B8465" t="str">
        <f>"LK1628"</f>
        <v>LK1628</v>
      </c>
      <c r="C8465" t="s">
        <v>8329</v>
      </c>
    </row>
    <row r="8466" spans="1:3" x14ac:dyDescent="0.25">
      <c r="A8466" t="str">
        <f>"0611836957100"</f>
        <v>0611836957100</v>
      </c>
      <c r="B8466" t="str">
        <f>"LK2499"</f>
        <v>LK2499</v>
      </c>
      <c r="C8466" t="s">
        <v>8330</v>
      </c>
    </row>
    <row r="8467" spans="1:3" x14ac:dyDescent="0.25">
      <c r="A8467" t="str">
        <f>"0611836958100"</f>
        <v>0611836958100</v>
      </c>
      <c r="B8467" t="str">
        <f>"LK2676"</f>
        <v>LK2676</v>
      </c>
      <c r="C8467" t="s">
        <v>8331</v>
      </c>
    </row>
    <row r="8468" spans="1:3" x14ac:dyDescent="0.25">
      <c r="A8468" t="str">
        <f>"0611836959100"</f>
        <v>0611836959100</v>
      </c>
      <c r="B8468" t="str">
        <f>"LK5822"</f>
        <v>LK5822</v>
      </c>
      <c r="C8468" t="s">
        <v>8332</v>
      </c>
    </row>
    <row r="8469" spans="1:3" x14ac:dyDescent="0.25">
      <c r="A8469" t="str">
        <f>"0611836960100"</f>
        <v>0611836960100</v>
      </c>
      <c r="B8469" t="str">
        <f>"LB3746"</f>
        <v>LB3746</v>
      </c>
      <c r="C8469" t="s">
        <v>8333</v>
      </c>
    </row>
    <row r="8470" spans="1:3" x14ac:dyDescent="0.25">
      <c r="A8470" t="str">
        <f>"0611836961100"</f>
        <v>0611836961100</v>
      </c>
      <c r="B8470" t="str">
        <f>"LB3742"</f>
        <v>LB3742</v>
      </c>
      <c r="C8470" t="s">
        <v>8334</v>
      </c>
    </row>
    <row r="8471" spans="1:3" x14ac:dyDescent="0.25">
      <c r="A8471" t="str">
        <f>"0611836962100"</f>
        <v>0611836962100</v>
      </c>
      <c r="B8471" t="str">
        <f>"LK0243"</f>
        <v>LK0243</v>
      </c>
      <c r="C8471" t="s">
        <v>8335</v>
      </c>
    </row>
    <row r="8472" spans="1:3" x14ac:dyDescent="0.25">
      <c r="A8472" t="str">
        <f>"0611836963100"</f>
        <v>0611836963100</v>
      </c>
      <c r="B8472" t="str">
        <f>"LB3743"</f>
        <v>LB3743</v>
      </c>
      <c r="C8472" t="s">
        <v>8336</v>
      </c>
    </row>
    <row r="8473" spans="1:3" x14ac:dyDescent="0.25">
      <c r="A8473" t="str">
        <f>"0611836964100"</f>
        <v>0611836964100</v>
      </c>
      <c r="B8473" t="str">
        <f>"LB3744"</f>
        <v>LB3744</v>
      </c>
      <c r="C8473" t="s">
        <v>8337</v>
      </c>
    </row>
    <row r="8474" spans="1:3" x14ac:dyDescent="0.25">
      <c r="A8474" t="str">
        <f>"0611836965100"</f>
        <v>0611836965100</v>
      </c>
      <c r="B8474" t="str">
        <f>"LB3747"</f>
        <v>LB3747</v>
      </c>
      <c r="C8474" t="s">
        <v>8338</v>
      </c>
    </row>
    <row r="8475" spans="1:3" x14ac:dyDescent="0.25">
      <c r="A8475" t="str">
        <f>"0611836966100"</f>
        <v>0611836966100</v>
      </c>
      <c r="B8475" t="str">
        <f>"LB3745"</f>
        <v>LB3745</v>
      </c>
      <c r="C8475" t="s">
        <v>8339</v>
      </c>
    </row>
    <row r="8476" spans="1:3" x14ac:dyDescent="0.25">
      <c r="A8476" t="str">
        <f>"0611836967100"</f>
        <v>0611836967100</v>
      </c>
      <c r="B8476" t="str">
        <f>"LK3887"</f>
        <v>LK3887</v>
      </c>
      <c r="C8476" t="s">
        <v>8340</v>
      </c>
    </row>
    <row r="8477" spans="1:3" x14ac:dyDescent="0.25">
      <c r="A8477" t="str">
        <f>"0611836968100"</f>
        <v>0611836968100</v>
      </c>
      <c r="B8477" t="str">
        <f>"LK3889"</f>
        <v>LK3889</v>
      </c>
      <c r="C8477" t="s">
        <v>8341</v>
      </c>
    </row>
    <row r="8478" spans="1:3" x14ac:dyDescent="0.25">
      <c r="A8478" t="str">
        <f>"0611836969100"</f>
        <v>0611836969100</v>
      </c>
      <c r="B8478" t="str">
        <f>"LK3890"</f>
        <v>LK3890</v>
      </c>
      <c r="C8478" t="s">
        <v>8342</v>
      </c>
    </row>
    <row r="8479" spans="1:3" x14ac:dyDescent="0.25">
      <c r="A8479" t="str">
        <f>"0611836970100"</f>
        <v>0611836970100</v>
      </c>
      <c r="B8479" t="str">
        <f>"LK3891"</f>
        <v>LK3891</v>
      </c>
      <c r="C8479" t="s">
        <v>8343</v>
      </c>
    </row>
    <row r="8480" spans="1:3" x14ac:dyDescent="0.25">
      <c r="A8480" t="str">
        <f>"0611836971100"</f>
        <v>0611836971100</v>
      </c>
      <c r="B8480" t="str">
        <f>"LK3894"</f>
        <v>LK3894</v>
      </c>
      <c r="C8480" t="s">
        <v>8344</v>
      </c>
    </row>
    <row r="8481" spans="1:3" x14ac:dyDescent="0.25">
      <c r="A8481" t="str">
        <f>"0611836972100"</f>
        <v>0611836972100</v>
      </c>
      <c r="B8481" t="str">
        <f>"LK3895"</f>
        <v>LK3895</v>
      </c>
      <c r="C8481" t="s">
        <v>8345</v>
      </c>
    </row>
    <row r="8482" spans="1:3" x14ac:dyDescent="0.25">
      <c r="A8482" t="str">
        <f>"0611836973100"</f>
        <v>0611836973100</v>
      </c>
      <c r="B8482" t="str">
        <f>"LB5729"</f>
        <v>LB5729</v>
      </c>
      <c r="C8482" t="s">
        <v>8346</v>
      </c>
    </row>
    <row r="8483" spans="1:3" x14ac:dyDescent="0.25">
      <c r="A8483" t="str">
        <f>"0611836975100"</f>
        <v>0611836975100</v>
      </c>
      <c r="B8483" t="str">
        <f>"LB5768"</f>
        <v>LB5768</v>
      </c>
      <c r="C8483" t="s">
        <v>8347</v>
      </c>
    </row>
    <row r="8484" spans="1:3" x14ac:dyDescent="0.25">
      <c r="A8484" t="str">
        <f>"0611836976100"</f>
        <v>0611836976100</v>
      </c>
      <c r="B8484" t="str">
        <f>"LB5765"</f>
        <v>LB5765</v>
      </c>
      <c r="C8484" t="s">
        <v>8348</v>
      </c>
    </row>
    <row r="8485" spans="1:3" x14ac:dyDescent="0.25">
      <c r="A8485" t="str">
        <f>"0611836977100"</f>
        <v>0611836977100</v>
      </c>
      <c r="B8485" t="str">
        <f>"LK0051"</f>
        <v>LK0051</v>
      </c>
      <c r="C8485" t="s">
        <v>8349</v>
      </c>
    </row>
    <row r="8486" spans="1:3" x14ac:dyDescent="0.25">
      <c r="A8486" t="str">
        <f>"0611836978100"</f>
        <v>0611836978100</v>
      </c>
      <c r="B8486" t="str">
        <f>"LY0262"</f>
        <v>LY0262</v>
      </c>
      <c r="C8486" t="s">
        <v>8350</v>
      </c>
    </row>
    <row r="8487" spans="1:3" x14ac:dyDescent="0.25">
      <c r="A8487" t="str">
        <f>"0611836979025"</f>
        <v>0611836979025</v>
      </c>
      <c r="B8487" t="str">
        <f>"MC2022"</f>
        <v>MC2022</v>
      </c>
      <c r="C8487" t="s">
        <v>8351</v>
      </c>
    </row>
    <row r="8488" spans="1:3" x14ac:dyDescent="0.25">
      <c r="A8488" t="str">
        <f>"0611857039025"</f>
        <v>0611857039025</v>
      </c>
      <c r="B8488" t="str">
        <f>"MQ0797"</f>
        <v>MQ0797</v>
      </c>
      <c r="C8488" t="s">
        <v>8352</v>
      </c>
    </row>
    <row r="8489" spans="1:3" x14ac:dyDescent="0.25">
      <c r="A8489" t="str">
        <f>"0611837028025"</f>
        <v>0611837028025</v>
      </c>
      <c r="B8489" t="str">
        <f>"MQ0308"</f>
        <v>MQ0308</v>
      </c>
      <c r="C8489" t="s">
        <v>8353</v>
      </c>
    </row>
    <row r="8490" spans="1:3" x14ac:dyDescent="0.25">
      <c r="A8490" t="str">
        <f>"0611837029100"</f>
        <v>0611837029100</v>
      </c>
      <c r="B8490" t="str">
        <f>"LH5967"</f>
        <v>LH5967</v>
      </c>
      <c r="C8490" t="s">
        <v>8354</v>
      </c>
    </row>
    <row r="8491" spans="1:3" x14ac:dyDescent="0.25">
      <c r="A8491" t="str">
        <f>"0611837030025"</f>
        <v>0611837030025</v>
      </c>
      <c r="B8491" t="str">
        <f>"MC0554"</f>
        <v>MC0554</v>
      </c>
      <c r="C8491" t="s">
        <v>8355</v>
      </c>
    </row>
    <row r="8492" spans="1:3" x14ac:dyDescent="0.25">
      <c r="A8492" t="str">
        <f>"0611837031025"</f>
        <v>0611837031025</v>
      </c>
      <c r="B8492" t="str">
        <f>"MC0555"</f>
        <v>MC0555</v>
      </c>
      <c r="C8492" t="s">
        <v>8356</v>
      </c>
    </row>
    <row r="8493" spans="1:3" x14ac:dyDescent="0.25">
      <c r="A8493" t="str">
        <f>"0611863326100"</f>
        <v>0611863326100</v>
      </c>
      <c r="B8493" t="str">
        <f>"CN5272"</f>
        <v>CN5272</v>
      </c>
      <c r="C8493" t="s">
        <v>8357</v>
      </c>
    </row>
    <row r="8494" spans="1:3" x14ac:dyDescent="0.25">
      <c r="A8494" t="str">
        <f>"0611837032100"</f>
        <v>0611837032100</v>
      </c>
      <c r="B8494" t="str">
        <f>"LH5969"</f>
        <v>LH5969</v>
      </c>
      <c r="C8494" t="s">
        <v>8358</v>
      </c>
    </row>
    <row r="8495" spans="1:3" x14ac:dyDescent="0.25">
      <c r="A8495" t="str">
        <f>"0611837033025"</f>
        <v>0611837033025</v>
      </c>
      <c r="B8495" t="str">
        <f>"MC0552"</f>
        <v>MC0552</v>
      </c>
      <c r="C8495" t="s">
        <v>8359</v>
      </c>
    </row>
    <row r="8496" spans="1:3" x14ac:dyDescent="0.25">
      <c r="A8496" t="str">
        <f>"0611837034025"</f>
        <v>0611837034025</v>
      </c>
      <c r="B8496" t="str">
        <f>"MC2023"</f>
        <v>MC2023</v>
      </c>
      <c r="C8496" t="s">
        <v>8360</v>
      </c>
    </row>
    <row r="8497" spans="1:3" x14ac:dyDescent="0.25">
      <c r="A8497" t="str">
        <f>"0611863328100"</f>
        <v>0611863328100</v>
      </c>
      <c r="B8497" t="str">
        <f>"CN5273"</f>
        <v>CN5273</v>
      </c>
      <c r="C8497" t="s">
        <v>8361</v>
      </c>
    </row>
    <row r="8498" spans="1:3" x14ac:dyDescent="0.25">
      <c r="A8498" t="str">
        <f>"0611837035025"</f>
        <v>0611837035025</v>
      </c>
      <c r="B8498" t="str">
        <f>"MC0553"</f>
        <v>MC0553</v>
      </c>
      <c r="C8498" t="s">
        <v>8362</v>
      </c>
    </row>
    <row r="8499" spans="1:3" x14ac:dyDescent="0.25">
      <c r="A8499" t="str">
        <f>"0611830436100"</f>
        <v>0611830436100</v>
      </c>
      <c r="B8499" t="str">
        <f>"LL2706"</f>
        <v>LL2706</v>
      </c>
      <c r="C8499" t="s">
        <v>8363</v>
      </c>
    </row>
    <row r="8500" spans="1:3" x14ac:dyDescent="0.25">
      <c r="A8500" t="str">
        <f>"0611830437100"</f>
        <v>0611830437100</v>
      </c>
      <c r="B8500" t="str">
        <f>"LL2702"</f>
        <v>LL2702</v>
      </c>
      <c r="C8500" t="s">
        <v>8364</v>
      </c>
    </row>
    <row r="8501" spans="1:3" x14ac:dyDescent="0.25">
      <c r="A8501" t="str">
        <f>"0611830438100"</f>
        <v>0611830438100</v>
      </c>
      <c r="B8501" t="str">
        <f>"LL8329"</f>
        <v>LL8329</v>
      </c>
      <c r="C8501" t="s">
        <v>8365</v>
      </c>
    </row>
    <row r="8502" spans="1:3" x14ac:dyDescent="0.25">
      <c r="A8502" t="str">
        <f>"0611830439100"</f>
        <v>0611830439100</v>
      </c>
      <c r="B8502" t="str">
        <f>"LL2701"</f>
        <v>LL2701</v>
      </c>
      <c r="C8502" t="s">
        <v>8366</v>
      </c>
    </row>
    <row r="8503" spans="1:3" x14ac:dyDescent="0.25">
      <c r="A8503" t="str">
        <f>"0611830440100"</f>
        <v>0611830440100</v>
      </c>
      <c r="B8503" t="str">
        <f>"LL0040"</f>
        <v>LL0040</v>
      </c>
      <c r="C8503" t="s">
        <v>8367</v>
      </c>
    </row>
    <row r="8504" spans="1:3" x14ac:dyDescent="0.25">
      <c r="A8504" t="str">
        <f>"0611830441100"</f>
        <v>0611830441100</v>
      </c>
      <c r="B8504" t="str">
        <f>"LL0041"</f>
        <v>LL0041</v>
      </c>
      <c r="C8504" t="s">
        <v>8368</v>
      </c>
    </row>
    <row r="8505" spans="1:3" x14ac:dyDescent="0.25">
      <c r="A8505" t="str">
        <f>"0611830444100"</f>
        <v>0611830444100</v>
      </c>
      <c r="B8505" t="str">
        <f>"LL2700"</f>
        <v>LL2700</v>
      </c>
      <c r="C8505" t="s">
        <v>8369</v>
      </c>
    </row>
    <row r="8506" spans="1:3" x14ac:dyDescent="0.25">
      <c r="A8506" t="str">
        <f>"0611830442100"</f>
        <v>0611830442100</v>
      </c>
      <c r="B8506" t="str">
        <f>"LL4837"</f>
        <v>LL4837</v>
      </c>
      <c r="C8506" t="s">
        <v>8370</v>
      </c>
    </row>
    <row r="8507" spans="1:3" x14ac:dyDescent="0.25">
      <c r="A8507" t="str">
        <f>"0611830443100"</f>
        <v>0611830443100</v>
      </c>
      <c r="B8507" t="str">
        <f>"LL8204"</f>
        <v>LL8204</v>
      </c>
      <c r="C8507" t="s">
        <v>8371</v>
      </c>
    </row>
    <row r="8508" spans="1:3" x14ac:dyDescent="0.25">
      <c r="A8508" t="str">
        <f>"0611830635100"</f>
        <v>0611830635100</v>
      </c>
      <c r="B8508" t="str">
        <f>"LL2861"</f>
        <v>LL2861</v>
      </c>
      <c r="C8508" t="s">
        <v>8372</v>
      </c>
    </row>
    <row r="8509" spans="1:3" x14ac:dyDescent="0.25">
      <c r="A8509" t="str">
        <f>"0611830641100"</f>
        <v>0611830641100</v>
      </c>
      <c r="B8509" t="str">
        <f>"LL0160"</f>
        <v>LL0160</v>
      </c>
      <c r="C8509" t="s">
        <v>8373</v>
      </c>
    </row>
    <row r="8510" spans="1:3" x14ac:dyDescent="0.25">
      <c r="A8510" t="str">
        <f>"0611830643100"</f>
        <v>0611830643100</v>
      </c>
      <c r="B8510" t="str">
        <f>"LL2827"</f>
        <v>LL2827</v>
      </c>
      <c r="C8510" t="s">
        <v>8374</v>
      </c>
    </row>
    <row r="8511" spans="1:3" x14ac:dyDescent="0.25">
      <c r="A8511" t="str">
        <f>"0611830651100"</f>
        <v>0611830651100</v>
      </c>
      <c r="B8511" t="str">
        <f>"LL2833"</f>
        <v>LL2833</v>
      </c>
      <c r="C8511" t="s">
        <v>8375</v>
      </c>
    </row>
    <row r="8512" spans="1:3" x14ac:dyDescent="0.25">
      <c r="A8512" t="str">
        <f>"0611830652100"</f>
        <v>0611830652100</v>
      </c>
      <c r="B8512" t="str">
        <f>"LL2830"</f>
        <v>LL2830</v>
      </c>
      <c r="C8512" t="s">
        <v>8376</v>
      </c>
    </row>
    <row r="8513" spans="1:3" x14ac:dyDescent="0.25">
      <c r="A8513" t="str">
        <f>"0611830653100"</f>
        <v>0611830653100</v>
      </c>
      <c r="B8513" t="str">
        <f>"LL1702"</f>
        <v>LL1702</v>
      </c>
      <c r="C8513" t="s">
        <v>8377</v>
      </c>
    </row>
    <row r="8514" spans="1:3" x14ac:dyDescent="0.25">
      <c r="A8514" t="str">
        <f>"0611830654100"</f>
        <v>0611830654100</v>
      </c>
      <c r="B8514" t="str">
        <f>"LL8312"</f>
        <v>LL8312</v>
      </c>
      <c r="C8514" t="s">
        <v>8378</v>
      </c>
    </row>
    <row r="8515" spans="1:3" x14ac:dyDescent="0.25">
      <c r="A8515" t="str">
        <f>"0611830656100"</f>
        <v>0611830656100</v>
      </c>
      <c r="B8515" t="str">
        <f>"LL2785"</f>
        <v>LL2785</v>
      </c>
      <c r="C8515" t="s">
        <v>8379</v>
      </c>
    </row>
    <row r="8516" spans="1:3" x14ac:dyDescent="0.25">
      <c r="A8516" t="str">
        <f>"0611830657100"</f>
        <v>0611830657100</v>
      </c>
      <c r="B8516" t="str">
        <f>"LL0161"</f>
        <v>LL0161</v>
      </c>
      <c r="C8516" t="s">
        <v>8380</v>
      </c>
    </row>
    <row r="8517" spans="1:3" x14ac:dyDescent="0.25">
      <c r="A8517" t="str">
        <f>"0611830658100"</f>
        <v>0611830658100</v>
      </c>
      <c r="B8517" t="str">
        <f>"LL2779"</f>
        <v>LL2779</v>
      </c>
      <c r="C8517" t="s">
        <v>8381</v>
      </c>
    </row>
    <row r="8518" spans="1:3" x14ac:dyDescent="0.25">
      <c r="A8518" t="str">
        <f>"0611830659100"</f>
        <v>0611830659100</v>
      </c>
      <c r="B8518" t="str">
        <f>"LL2829"</f>
        <v>LL2829</v>
      </c>
      <c r="C8518" t="s">
        <v>8382</v>
      </c>
    </row>
    <row r="8519" spans="1:3" x14ac:dyDescent="0.25">
      <c r="A8519" t="str">
        <f>"0611830660100"</f>
        <v>0611830660100</v>
      </c>
      <c r="B8519" t="str">
        <f>"LL2832"</f>
        <v>LL2832</v>
      </c>
      <c r="C8519" t="s">
        <v>8383</v>
      </c>
    </row>
    <row r="8520" spans="1:3" x14ac:dyDescent="0.25">
      <c r="A8520" t="str">
        <f>"0611830661100"</f>
        <v>0611830661100</v>
      </c>
      <c r="B8520" t="str">
        <f>"LL2835"</f>
        <v>LL2835</v>
      </c>
      <c r="C8520" t="s">
        <v>8384</v>
      </c>
    </row>
    <row r="8521" spans="1:3" x14ac:dyDescent="0.25">
      <c r="A8521" t="str">
        <f>"0611830662100"</f>
        <v>0611830662100</v>
      </c>
      <c r="B8521" t="str">
        <f>"LL2840"</f>
        <v>LL2840</v>
      </c>
      <c r="C8521" t="s">
        <v>8385</v>
      </c>
    </row>
    <row r="8522" spans="1:3" x14ac:dyDescent="0.25">
      <c r="A8522" t="str">
        <f>"0611830663100"</f>
        <v>0611830663100</v>
      </c>
      <c r="B8522" t="str">
        <f>"LL2860"</f>
        <v>LL2860</v>
      </c>
      <c r="C8522" t="s">
        <v>8386</v>
      </c>
    </row>
    <row r="8523" spans="1:3" x14ac:dyDescent="0.25">
      <c r="A8523" t="str">
        <f>"0611830664100"</f>
        <v>0611830664100</v>
      </c>
      <c r="B8523" t="str">
        <f>"LL0162"</f>
        <v>LL0162</v>
      </c>
      <c r="C8523" t="s">
        <v>8387</v>
      </c>
    </row>
    <row r="8524" spans="1:3" x14ac:dyDescent="0.25">
      <c r="A8524" t="str">
        <f>"0611837036100"</f>
        <v>0611837036100</v>
      </c>
      <c r="B8524" t="str">
        <f>"LH6010"</f>
        <v>LH6010</v>
      </c>
      <c r="C8524" t="s">
        <v>8388</v>
      </c>
    </row>
    <row r="8525" spans="1:3" x14ac:dyDescent="0.25">
      <c r="A8525" t="str">
        <f>"0611837037100"</f>
        <v>0611837037100</v>
      </c>
      <c r="B8525" t="str">
        <f>"LK2110"</f>
        <v>LK2110</v>
      </c>
      <c r="C8525" t="s">
        <v>8389</v>
      </c>
    </row>
    <row r="8526" spans="1:3" x14ac:dyDescent="0.25">
      <c r="A8526" t="str">
        <f>"0611837038100"</f>
        <v>0611837038100</v>
      </c>
      <c r="B8526" t="str">
        <f>"LG5000"</f>
        <v>LG5000</v>
      </c>
      <c r="C8526" t="s">
        <v>8390</v>
      </c>
    </row>
    <row r="8527" spans="1:3" x14ac:dyDescent="0.25">
      <c r="A8527" t="str">
        <f>"0611837042025"</f>
        <v>0611837042025</v>
      </c>
      <c r="B8527" t="str">
        <f>"MC4340"</f>
        <v>MC4340</v>
      </c>
      <c r="C8527" t="s">
        <v>8391</v>
      </c>
    </row>
    <row r="8528" spans="1:3" x14ac:dyDescent="0.25">
      <c r="A8528" t="str">
        <f>"0611862544050"</f>
        <v>0611862544050</v>
      </c>
      <c r="B8528" t="str">
        <f>"CR4396"</f>
        <v>CR4396</v>
      </c>
      <c r="C8528" t="s">
        <v>8392</v>
      </c>
    </row>
    <row r="8529" spans="1:3" x14ac:dyDescent="0.25">
      <c r="A8529" t="str">
        <f>"0611837044100"</f>
        <v>0611837044100</v>
      </c>
      <c r="B8529" t="str">
        <f>"LC9625"</f>
        <v>LC9625</v>
      </c>
      <c r="C8529" t="s">
        <v>8393</v>
      </c>
    </row>
    <row r="8530" spans="1:3" x14ac:dyDescent="0.25">
      <c r="A8530" t="str">
        <f>"0611837045100"</f>
        <v>0611837045100</v>
      </c>
      <c r="B8530" t="str">
        <f>"LC3399"</f>
        <v>LC3399</v>
      </c>
      <c r="C8530" t="s">
        <v>8394</v>
      </c>
    </row>
    <row r="8531" spans="1:3" x14ac:dyDescent="0.25">
      <c r="A8531" t="str">
        <f>"0611884335025"</f>
        <v>0611884335025</v>
      </c>
      <c r="B8531" t="str">
        <f>"MC2222"</f>
        <v>MC2222</v>
      </c>
      <c r="C8531" t="s">
        <v>8395</v>
      </c>
    </row>
    <row r="8532" spans="1:3" x14ac:dyDescent="0.25">
      <c r="A8532" t="str">
        <f>"0611862545050"</f>
        <v>0611862545050</v>
      </c>
      <c r="B8532" t="str">
        <f>"CR4395"</f>
        <v>CR4395</v>
      </c>
      <c r="C8532" t="s">
        <v>8396</v>
      </c>
    </row>
    <row r="8533" spans="1:3" x14ac:dyDescent="0.25">
      <c r="A8533" t="str">
        <f>"0611837039100"</f>
        <v>0611837039100</v>
      </c>
      <c r="B8533" t="str">
        <f>"LC8503"</f>
        <v>LC8503</v>
      </c>
      <c r="C8533" t="s">
        <v>8397</v>
      </c>
    </row>
    <row r="8534" spans="1:3" x14ac:dyDescent="0.25">
      <c r="A8534" t="str">
        <f>"0611837058100"</f>
        <v>0611837058100</v>
      </c>
      <c r="B8534" t="str">
        <f>"LC8100"</f>
        <v>LC8100</v>
      </c>
      <c r="C8534" t="s">
        <v>8398</v>
      </c>
    </row>
    <row r="8535" spans="1:3" x14ac:dyDescent="0.25">
      <c r="A8535" t="str">
        <f>"0611837059200"</f>
        <v>0611837059200</v>
      </c>
      <c r="B8535" t="str">
        <f>"KP8100"</f>
        <v>KP8100</v>
      </c>
      <c r="C8535" t="s">
        <v>8399</v>
      </c>
    </row>
    <row r="8536" spans="1:3" x14ac:dyDescent="0.25">
      <c r="A8536" t="str">
        <f>"0611837060025"</f>
        <v>0611837060025</v>
      </c>
      <c r="B8536" t="str">
        <f>"MC0807"</f>
        <v>MC0807</v>
      </c>
      <c r="C8536" t="s">
        <v>8400</v>
      </c>
    </row>
    <row r="8537" spans="1:3" x14ac:dyDescent="0.25">
      <c r="A8537" t="str">
        <f>"0611856977025"</f>
        <v>0611856977025</v>
      </c>
      <c r="B8537" t="str">
        <f>"MQ0798"</f>
        <v>MQ0798</v>
      </c>
      <c r="C8537" t="s">
        <v>8401</v>
      </c>
    </row>
    <row r="8538" spans="1:3" x14ac:dyDescent="0.25">
      <c r="A8538" t="str">
        <f>"0611837047100"</f>
        <v>0611837047100</v>
      </c>
      <c r="B8538" t="str">
        <f>"LC8505"</f>
        <v>LC8505</v>
      </c>
      <c r="C8538" t="s">
        <v>8402</v>
      </c>
    </row>
    <row r="8539" spans="1:3" x14ac:dyDescent="0.25">
      <c r="A8539" t="str">
        <f>"0611837048100"</f>
        <v>0611837048100</v>
      </c>
      <c r="B8539" t="str">
        <f>"LC8500"</f>
        <v>LC8500</v>
      </c>
      <c r="C8539" t="s">
        <v>8403</v>
      </c>
    </row>
    <row r="8540" spans="1:3" x14ac:dyDescent="0.25">
      <c r="A8540" t="str">
        <f>"0611862547100"</f>
        <v>0611862547100</v>
      </c>
      <c r="B8540" t="str">
        <f>"CN5276"</f>
        <v>CN5276</v>
      </c>
      <c r="C8540" t="s">
        <v>8404</v>
      </c>
    </row>
    <row r="8541" spans="1:3" x14ac:dyDescent="0.25">
      <c r="A8541" t="str">
        <f>"0611837049025"</f>
        <v>0611837049025</v>
      </c>
      <c r="B8541" t="str">
        <f>"MC0805"</f>
        <v>MC0805</v>
      </c>
      <c r="C8541" t="s">
        <v>8405</v>
      </c>
    </row>
    <row r="8542" spans="1:3" x14ac:dyDescent="0.25">
      <c r="A8542" t="str">
        <f>"0611862546050"</f>
        <v>0611862546050</v>
      </c>
      <c r="B8542" t="str">
        <f>"CR4393"</f>
        <v>CR4393</v>
      </c>
      <c r="C8542" t="s">
        <v>8406</v>
      </c>
    </row>
    <row r="8543" spans="1:3" x14ac:dyDescent="0.25">
      <c r="A8543" t="str">
        <f>"0611837050100"</f>
        <v>0611837050100</v>
      </c>
      <c r="B8543" t="str">
        <f>"LC8507"</f>
        <v>LC8507</v>
      </c>
      <c r="C8543" t="s">
        <v>8407</v>
      </c>
    </row>
    <row r="8544" spans="1:3" x14ac:dyDescent="0.25">
      <c r="A8544" t="str">
        <f>"0611862548100"</f>
        <v>0611862548100</v>
      </c>
      <c r="B8544" t="str">
        <f>"CN5277"</f>
        <v>CN5277</v>
      </c>
      <c r="C8544" t="s">
        <v>8408</v>
      </c>
    </row>
    <row r="8545" spans="1:3" x14ac:dyDescent="0.25">
      <c r="A8545" t="str">
        <f>"0611837051025"</f>
        <v>0611837051025</v>
      </c>
      <c r="B8545" t="str">
        <f>"MC2224"</f>
        <v>MC2224</v>
      </c>
      <c r="C8545" t="s">
        <v>8409</v>
      </c>
    </row>
    <row r="8546" spans="1:3" x14ac:dyDescent="0.25">
      <c r="A8546" t="str">
        <f>"0611837052100"</f>
        <v>0611837052100</v>
      </c>
      <c r="B8546" t="str">
        <f>"LC8501"</f>
        <v>LC8501</v>
      </c>
      <c r="C8546" t="s">
        <v>8410</v>
      </c>
    </row>
    <row r="8547" spans="1:3" x14ac:dyDescent="0.25">
      <c r="A8547" t="str">
        <f>"0611862549100"</f>
        <v>0611862549100</v>
      </c>
      <c r="B8547" t="str">
        <f>"CN5278"</f>
        <v>CN5278</v>
      </c>
      <c r="C8547" t="s">
        <v>8411</v>
      </c>
    </row>
    <row r="8548" spans="1:3" x14ac:dyDescent="0.25">
      <c r="A8548" t="str">
        <f>"0611837053025"</f>
        <v>0611837053025</v>
      </c>
      <c r="B8548" t="str">
        <f>"MC0806"</f>
        <v>MC0806</v>
      </c>
      <c r="C8548" t="s">
        <v>8412</v>
      </c>
    </row>
    <row r="8549" spans="1:3" x14ac:dyDescent="0.25">
      <c r="A8549" t="str">
        <f>"0611837054100"</f>
        <v>0611837054100</v>
      </c>
      <c r="B8549" t="str">
        <f>"LH8922"</f>
        <v>LH8922</v>
      </c>
      <c r="C8549" t="s">
        <v>8413</v>
      </c>
    </row>
    <row r="8550" spans="1:3" x14ac:dyDescent="0.25">
      <c r="A8550" t="str">
        <f>"0611862551100"</f>
        <v>0611862551100</v>
      </c>
      <c r="B8550" t="str">
        <f>"CN5275"</f>
        <v>CN5275</v>
      </c>
      <c r="C8550" t="s">
        <v>8414</v>
      </c>
    </row>
    <row r="8551" spans="1:3" x14ac:dyDescent="0.25">
      <c r="A8551" t="str">
        <f>"0611837055025"</f>
        <v>0611837055025</v>
      </c>
      <c r="B8551" t="str">
        <f>"MC2024"</f>
        <v>MC2024</v>
      </c>
      <c r="C8551" t="s">
        <v>8415</v>
      </c>
    </row>
    <row r="8552" spans="1:3" x14ac:dyDescent="0.25">
      <c r="A8552" t="str">
        <f>"0611862550050"</f>
        <v>0611862550050</v>
      </c>
      <c r="B8552" t="str">
        <f>"CR4391"</f>
        <v>CR4391</v>
      </c>
      <c r="C8552" t="s">
        <v>8416</v>
      </c>
    </row>
    <row r="8553" spans="1:3" x14ac:dyDescent="0.25">
      <c r="A8553" t="str">
        <f>"0611837040100"</f>
        <v>0611837040100</v>
      </c>
      <c r="B8553" t="str">
        <f>"LC9619"</f>
        <v>LC9619</v>
      </c>
      <c r="C8553" t="s">
        <v>8417</v>
      </c>
    </row>
    <row r="8554" spans="1:3" x14ac:dyDescent="0.25">
      <c r="A8554" t="str">
        <f>"0611837061100"</f>
        <v>0611837061100</v>
      </c>
      <c r="B8554" t="str">
        <f>"LK5634"</f>
        <v>LK5634</v>
      </c>
      <c r="C8554" t="s">
        <v>8418</v>
      </c>
    </row>
    <row r="8555" spans="1:3" x14ac:dyDescent="0.25">
      <c r="A8555" t="str">
        <f>"0611893639100"</f>
        <v>0611893639100</v>
      </c>
      <c r="B8555" t="str">
        <f>"CN5274"</f>
        <v>CN5274</v>
      </c>
      <c r="C8555" t="s">
        <v>8419</v>
      </c>
    </row>
    <row r="8556" spans="1:3" x14ac:dyDescent="0.25">
      <c r="A8556" t="str">
        <f>"0611856978100"</f>
        <v>0611856978100</v>
      </c>
      <c r="B8556" t="str">
        <f>"LC8502"</f>
        <v>LC8502</v>
      </c>
      <c r="C8556" t="s">
        <v>8420</v>
      </c>
    </row>
    <row r="8557" spans="1:3" x14ac:dyDescent="0.25">
      <c r="A8557" t="str">
        <f>"0611884336025"</f>
        <v>0611884336025</v>
      </c>
      <c r="B8557" t="str">
        <f>"MC0808"</f>
        <v>MC0808</v>
      </c>
      <c r="C8557" t="s">
        <v>8421</v>
      </c>
    </row>
    <row r="8558" spans="1:3" x14ac:dyDescent="0.25">
      <c r="A8558" t="str">
        <f>"0611862552050"</f>
        <v>0611862552050</v>
      </c>
      <c r="B8558" t="str">
        <f>"CR4392"</f>
        <v>CR4392</v>
      </c>
      <c r="C8558" t="s">
        <v>8422</v>
      </c>
    </row>
    <row r="8559" spans="1:3" x14ac:dyDescent="0.25">
      <c r="A8559" t="str">
        <f>"0611830649025"</f>
        <v>0611830649025</v>
      </c>
      <c r="B8559" t="str">
        <f>"MC4363"</f>
        <v>MC4363</v>
      </c>
      <c r="C8559" t="s">
        <v>8423</v>
      </c>
    </row>
    <row r="8560" spans="1:3" x14ac:dyDescent="0.25">
      <c r="A8560" t="str">
        <f>"0611830650025"</f>
        <v>0611830650025</v>
      </c>
      <c r="B8560" t="str">
        <f>"MC4364"</f>
        <v>MC4364</v>
      </c>
      <c r="C8560" t="s">
        <v>8424</v>
      </c>
    </row>
    <row r="8561" spans="1:3" x14ac:dyDescent="0.25">
      <c r="A8561" t="str">
        <f>"0611830647025"</f>
        <v>0611830647025</v>
      </c>
      <c r="B8561" t="str">
        <f>"MC4365"</f>
        <v>MC4365</v>
      </c>
      <c r="C8561" t="s">
        <v>8425</v>
      </c>
    </row>
    <row r="8562" spans="1:3" x14ac:dyDescent="0.25">
      <c r="A8562" t="str">
        <f>"0611830648025"</f>
        <v>0611830648025</v>
      </c>
      <c r="B8562" t="str">
        <f>"MC4366"</f>
        <v>MC4366</v>
      </c>
      <c r="C8562" t="s">
        <v>8426</v>
      </c>
    </row>
    <row r="8563" spans="1:3" x14ac:dyDescent="0.25">
      <c r="A8563" t="str">
        <f>"0611831818100"</f>
        <v>0611831818100</v>
      </c>
      <c r="B8563" t="str">
        <f>"LL0275"</f>
        <v>LL0275</v>
      </c>
      <c r="C8563" t="s">
        <v>8427</v>
      </c>
    </row>
    <row r="8564" spans="1:3" x14ac:dyDescent="0.25">
      <c r="A8564" t="str">
        <f>"0611831868100"</f>
        <v>0611831868100</v>
      </c>
      <c r="B8564" t="str">
        <f>"LB5785"</f>
        <v>LB5785</v>
      </c>
      <c r="C8564" t="s">
        <v>8428</v>
      </c>
    </row>
    <row r="8565" spans="1:3" x14ac:dyDescent="0.25">
      <c r="A8565" t="str">
        <f>"0611906856100"</f>
        <v>0611906856100</v>
      </c>
      <c r="B8565" t="str">
        <f>"LK7248"</f>
        <v>LK7248</v>
      </c>
      <c r="C8565" t="s">
        <v>8429</v>
      </c>
    </row>
    <row r="8566" spans="1:3" x14ac:dyDescent="0.25">
      <c r="A8566" t="str">
        <f>"0611906857100"</f>
        <v>0611906857100</v>
      </c>
      <c r="B8566" t="str">
        <f>"LK7249"</f>
        <v>LK7249</v>
      </c>
      <c r="C8566" t="s">
        <v>8430</v>
      </c>
    </row>
    <row r="8567" spans="1:3" x14ac:dyDescent="0.25">
      <c r="A8567" t="str">
        <f>"0611840738100"</f>
        <v>0611840738100</v>
      </c>
      <c r="B8567" t="str">
        <f>"LK5003"</f>
        <v>LK5003</v>
      </c>
      <c r="C8567" t="s">
        <v>8431</v>
      </c>
    </row>
    <row r="8568" spans="1:3" x14ac:dyDescent="0.25">
      <c r="A8568" t="str">
        <f>"0611840742100"</f>
        <v>0611840742100</v>
      </c>
      <c r="B8568" t="str">
        <f>"LK6334"</f>
        <v>LK6334</v>
      </c>
      <c r="C8568" t="s">
        <v>8432</v>
      </c>
    </row>
    <row r="8569" spans="1:3" x14ac:dyDescent="0.25">
      <c r="A8569" t="str">
        <f>"0611833571100"</f>
        <v>0611833571100</v>
      </c>
      <c r="B8569" t="str">
        <f>"LL1891"</f>
        <v>LL1891</v>
      </c>
      <c r="C8569" t="s">
        <v>8433</v>
      </c>
    </row>
    <row r="8570" spans="1:3" x14ac:dyDescent="0.25">
      <c r="A8570" t="str">
        <f>"0611837066100"</f>
        <v>0611837066100</v>
      </c>
      <c r="B8570" t="str">
        <f>"LH6100"</f>
        <v>LH6100</v>
      </c>
      <c r="C8570" t="s">
        <v>8434</v>
      </c>
    </row>
    <row r="8571" spans="1:3" x14ac:dyDescent="0.25">
      <c r="A8571" t="str">
        <f>"0611837067025"</f>
        <v>0611837067025</v>
      </c>
      <c r="B8571" t="str">
        <f>"MC1541"</f>
        <v>MC1541</v>
      </c>
      <c r="C8571" t="s">
        <v>8435</v>
      </c>
    </row>
    <row r="8572" spans="1:3" x14ac:dyDescent="0.25">
      <c r="A8572" t="str">
        <f>"0611906858100"</f>
        <v>0611906858100</v>
      </c>
      <c r="B8572" t="str">
        <f>"LK7244"</f>
        <v>LK7244</v>
      </c>
      <c r="C8572" t="s">
        <v>8436</v>
      </c>
    </row>
    <row r="8573" spans="1:3" x14ac:dyDescent="0.25">
      <c r="A8573" t="str">
        <f>"0611906859100"</f>
        <v>0611906859100</v>
      </c>
      <c r="B8573" t="str">
        <f>"LK7245"</f>
        <v>LK7245</v>
      </c>
      <c r="C8573" t="s">
        <v>8437</v>
      </c>
    </row>
    <row r="8574" spans="1:3" x14ac:dyDescent="0.25">
      <c r="A8574" t="str">
        <f>"0611906860100"</f>
        <v>0611906860100</v>
      </c>
      <c r="B8574" t="str">
        <f>"LK7246"</f>
        <v>LK7246</v>
      </c>
      <c r="C8574" t="s">
        <v>8438</v>
      </c>
    </row>
    <row r="8575" spans="1:3" x14ac:dyDescent="0.25">
      <c r="A8575" t="str">
        <f>"0611906861100"</f>
        <v>0611906861100</v>
      </c>
      <c r="B8575" t="str">
        <f>"LK7247"</f>
        <v>LK7247</v>
      </c>
      <c r="C8575" t="s">
        <v>8439</v>
      </c>
    </row>
    <row r="8576" spans="1:3" x14ac:dyDescent="0.25">
      <c r="A8576" t="str">
        <f>"0611831832100"</f>
        <v>0611831832100</v>
      </c>
      <c r="B8576" t="str">
        <f>"LB5804"</f>
        <v>LB5804</v>
      </c>
      <c r="C8576" t="s">
        <v>6858</v>
      </c>
    </row>
    <row r="8577" spans="1:3" x14ac:dyDescent="0.25">
      <c r="A8577" t="str">
        <f>"0611831833100"</f>
        <v>0611831833100</v>
      </c>
      <c r="B8577" t="str">
        <f>"LB5805"</f>
        <v>LB5805</v>
      </c>
      <c r="C8577" t="s">
        <v>6859</v>
      </c>
    </row>
    <row r="8578" spans="1:3" x14ac:dyDescent="0.25">
      <c r="A8578" t="str">
        <f>"0611831837100"</f>
        <v>0611831837100</v>
      </c>
      <c r="B8578" t="str">
        <f>"LK6511"</f>
        <v>LK6511</v>
      </c>
      <c r="C8578" t="s">
        <v>6860</v>
      </c>
    </row>
    <row r="8579" spans="1:3" x14ac:dyDescent="0.25">
      <c r="A8579" t="str">
        <f>"0611831838100"</f>
        <v>0611831838100</v>
      </c>
      <c r="B8579" t="str">
        <f>"LK4412"</f>
        <v>LK4412</v>
      </c>
      <c r="C8579" t="s">
        <v>6861</v>
      </c>
    </row>
    <row r="8580" spans="1:3" x14ac:dyDescent="0.25">
      <c r="A8580" t="str">
        <f>"0611831839100"</f>
        <v>0611831839100</v>
      </c>
      <c r="B8580" t="str">
        <f>"LK0470"</f>
        <v>LK0470</v>
      </c>
      <c r="C8580" t="s">
        <v>6862</v>
      </c>
    </row>
    <row r="8581" spans="1:3" x14ac:dyDescent="0.25">
      <c r="A8581" t="str">
        <f>"0611831840100"</f>
        <v>0611831840100</v>
      </c>
      <c r="B8581" t="str">
        <f>"LK0471"</f>
        <v>LK0471</v>
      </c>
      <c r="C8581" t="s">
        <v>6863</v>
      </c>
    </row>
    <row r="8582" spans="1:3" x14ac:dyDescent="0.25">
      <c r="A8582" t="str">
        <f>"0611831843100"</f>
        <v>0611831843100</v>
      </c>
      <c r="B8582" t="str">
        <f>"LB0380"</f>
        <v>LB0380</v>
      </c>
      <c r="C8582" t="s">
        <v>6864</v>
      </c>
    </row>
    <row r="8583" spans="1:3" x14ac:dyDescent="0.25">
      <c r="A8583" t="str">
        <f>"0611831844100"</f>
        <v>0611831844100</v>
      </c>
      <c r="B8583" t="str">
        <f>"LB0381"</f>
        <v>LB0381</v>
      </c>
      <c r="C8583" t="s">
        <v>6865</v>
      </c>
    </row>
    <row r="8584" spans="1:3" x14ac:dyDescent="0.25">
      <c r="A8584" t="str">
        <f>"0611857009100"</f>
        <v>0611857009100</v>
      </c>
      <c r="B8584" t="str">
        <f>"LK7074"</f>
        <v>LK7074</v>
      </c>
      <c r="C8584" t="s">
        <v>6866</v>
      </c>
    </row>
    <row r="8585" spans="1:3" x14ac:dyDescent="0.25">
      <c r="A8585" t="str">
        <f>"0611857010100"</f>
        <v>0611857010100</v>
      </c>
      <c r="B8585" t="str">
        <f>"LK7075"</f>
        <v>LK7075</v>
      </c>
      <c r="C8585" t="s">
        <v>6867</v>
      </c>
    </row>
    <row r="8586" spans="1:3" x14ac:dyDescent="0.25">
      <c r="A8586" t="str">
        <f>"0611831845100"</f>
        <v>0611831845100</v>
      </c>
      <c r="B8586" t="str">
        <f>"LK6991"</f>
        <v>LK6991</v>
      </c>
      <c r="C8586" t="s">
        <v>6868</v>
      </c>
    </row>
    <row r="8587" spans="1:3" x14ac:dyDescent="0.25">
      <c r="A8587" t="str">
        <f>"0611831846100"</f>
        <v>0611831846100</v>
      </c>
      <c r="B8587" t="str">
        <f>"LK6992"</f>
        <v>LK6992</v>
      </c>
      <c r="C8587" t="s">
        <v>6869</v>
      </c>
    </row>
    <row r="8588" spans="1:3" x14ac:dyDescent="0.25">
      <c r="A8588" t="str">
        <f>"0611831863100"</f>
        <v>0611831863100</v>
      </c>
      <c r="B8588" t="str">
        <f>"LB0069"</f>
        <v>LB0069</v>
      </c>
      <c r="C8588" t="s">
        <v>6870</v>
      </c>
    </row>
    <row r="8589" spans="1:3" x14ac:dyDescent="0.25">
      <c r="A8589" t="str">
        <f>"0611831869100"</f>
        <v>0611831869100</v>
      </c>
      <c r="B8589" t="str">
        <f>"LB5790"</f>
        <v>LB5790</v>
      </c>
      <c r="C8589" t="s">
        <v>8440</v>
      </c>
    </row>
    <row r="8590" spans="1:3" x14ac:dyDescent="0.25">
      <c r="A8590" t="str">
        <f>"0611831872100"</f>
        <v>0611831872100</v>
      </c>
      <c r="B8590" t="str">
        <f>"LK4752"</f>
        <v>LK4752</v>
      </c>
      <c r="C8590" t="s">
        <v>6872</v>
      </c>
    </row>
    <row r="8591" spans="1:3" x14ac:dyDescent="0.25">
      <c r="A8591" t="str">
        <f>"0611857011100"</f>
        <v>0611857011100</v>
      </c>
      <c r="B8591" t="str">
        <f>"LK7076"</f>
        <v>LK7076</v>
      </c>
      <c r="C8591" t="s">
        <v>6873</v>
      </c>
    </row>
    <row r="8592" spans="1:3" x14ac:dyDescent="0.25">
      <c r="A8592" t="str">
        <f>"0611857012100"</f>
        <v>0611857012100</v>
      </c>
      <c r="B8592" t="str">
        <f>"LK7077"</f>
        <v>LK7077</v>
      </c>
      <c r="C8592" t="s">
        <v>6874</v>
      </c>
    </row>
    <row r="8593" spans="1:3" x14ac:dyDescent="0.25">
      <c r="A8593" t="str">
        <f>"0611831898100"</f>
        <v>0611831898100</v>
      </c>
      <c r="B8593" t="str">
        <f>"LK3299"</f>
        <v>LK3299</v>
      </c>
      <c r="C8593" t="s">
        <v>6875</v>
      </c>
    </row>
    <row r="8594" spans="1:3" x14ac:dyDescent="0.25">
      <c r="A8594" t="str">
        <f>"0611831899100"</f>
        <v>0611831899100</v>
      </c>
      <c r="B8594" t="str">
        <f>"LB5796"</f>
        <v>LB5796</v>
      </c>
      <c r="C8594" t="s">
        <v>6876</v>
      </c>
    </row>
    <row r="8595" spans="1:3" x14ac:dyDescent="0.25">
      <c r="A8595" t="str">
        <f>"0611831900100"</f>
        <v>0611831900100</v>
      </c>
      <c r="B8595" t="str">
        <f>"LB5797"</f>
        <v>LB5797</v>
      </c>
      <c r="C8595" t="s">
        <v>6877</v>
      </c>
    </row>
    <row r="8596" spans="1:3" x14ac:dyDescent="0.25">
      <c r="A8596" t="str">
        <f>"0611831913100"</f>
        <v>0611831913100</v>
      </c>
      <c r="B8596" t="str">
        <f>"LB5781"</f>
        <v>LB5781</v>
      </c>
      <c r="C8596" t="s">
        <v>6879</v>
      </c>
    </row>
    <row r="8597" spans="1:3" x14ac:dyDescent="0.25">
      <c r="A8597" t="str">
        <f>"0611831914100"</f>
        <v>0611831914100</v>
      </c>
      <c r="B8597" t="str">
        <f>"LB5819"</f>
        <v>LB5819</v>
      </c>
      <c r="C8597" t="s">
        <v>6880</v>
      </c>
    </row>
    <row r="8598" spans="1:3" x14ac:dyDescent="0.25">
      <c r="A8598" t="str">
        <f>"0611831915100"</f>
        <v>0611831915100</v>
      </c>
      <c r="B8598" t="str">
        <f>"LB5783"</f>
        <v>LB5783</v>
      </c>
      <c r="C8598" t="s">
        <v>6881</v>
      </c>
    </row>
    <row r="8599" spans="1:3" x14ac:dyDescent="0.25">
      <c r="A8599" t="str">
        <f>"0611831916100"</f>
        <v>0611831916100</v>
      </c>
      <c r="B8599" t="str">
        <f>"LB5784"</f>
        <v>LB5784</v>
      </c>
      <c r="C8599" t="s">
        <v>6882</v>
      </c>
    </row>
    <row r="8600" spans="1:3" x14ac:dyDescent="0.25">
      <c r="A8600" t="str">
        <f>"0611857013100"</f>
        <v>0611857013100</v>
      </c>
      <c r="B8600" t="str">
        <f>"LK7078"</f>
        <v>LK7078</v>
      </c>
      <c r="C8600" t="s">
        <v>6883</v>
      </c>
    </row>
    <row r="8601" spans="1:3" x14ac:dyDescent="0.25">
      <c r="A8601" t="str">
        <f>"0611831918100"</f>
        <v>0611831918100</v>
      </c>
      <c r="B8601" t="str">
        <f>"LK6993"</f>
        <v>LK6993</v>
      </c>
      <c r="C8601" t="s">
        <v>6884</v>
      </c>
    </row>
    <row r="8602" spans="1:3" x14ac:dyDescent="0.25">
      <c r="A8602" t="str">
        <f>"0611831919100"</f>
        <v>0611831919100</v>
      </c>
      <c r="B8602" t="str">
        <f>"LB5798"</f>
        <v>LB5798</v>
      </c>
      <c r="C8602" t="s">
        <v>6885</v>
      </c>
    </row>
    <row r="8603" spans="1:3" x14ac:dyDescent="0.25">
      <c r="A8603" t="str">
        <f>"0611831920100"</f>
        <v>0611831920100</v>
      </c>
      <c r="B8603" t="str">
        <f>"LB5786"</f>
        <v>LB5786</v>
      </c>
      <c r="C8603" t="s">
        <v>6886</v>
      </c>
    </row>
    <row r="8604" spans="1:3" x14ac:dyDescent="0.25">
      <c r="A8604" t="str">
        <f>"0611831921100"</f>
        <v>0611831921100</v>
      </c>
      <c r="B8604" t="str">
        <f>"LB5787"</f>
        <v>LB5787</v>
      </c>
      <c r="C8604" t="s">
        <v>6887</v>
      </c>
    </row>
    <row r="8605" spans="1:3" x14ac:dyDescent="0.25">
      <c r="A8605" t="str">
        <f>"0611831922100"</f>
        <v>0611831922100</v>
      </c>
      <c r="B8605" t="str">
        <f>"LB5788"</f>
        <v>LB5788</v>
      </c>
      <c r="C8605" t="s">
        <v>6888</v>
      </c>
    </row>
    <row r="8606" spans="1:3" x14ac:dyDescent="0.25">
      <c r="A8606" t="str">
        <f>"0611831925100"</f>
        <v>0611831925100</v>
      </c>
      <c r="B8606" t="str">
        <f>"LB2669"</f>
        <v>LB2669</v>
      </c>
      <c r="C8606" t="s">
        <v>6889</v>
      </c>
    </row>
    <row r="8607" spans="1:3" x14ac:dyDescent="0.25">
      <c r="A8607" t="str">
        <f>"0611831926100"</f>
        <v>0611831926100</v>
      </c>
      <c r="B8607" t="str">
        <f>"LB2670"</f>
        <v>LB2670</v>
      </c>
      <c r="C8607" t="s">
        <v>6890</v>
      </c>
    </row>
    <row r="8608" spans="1:3" x14ac:dyDescent="0.25">
      <c r="A8608" t="str">
        <f>"0611831928100"</f>
        <v>0611831928100</v>
      </c>
      <c r="B8608" t="str">
        <f>"LK0468"</f>
        <v>LK0468</v>
      </c>
      <c r="C8608" t="s">
        <v>6891</v>
      </c>
    </row>
    <row r="8609" spans="1:3" x14ac:dyDescent="0.25">
      <c r="A8609" t="str">
        <f>"0611831929100"</f>
        <v>0611831929100</v>
      </c>
      <c r="B8609" t="str">
        <f>"LK0025"</f>
        <v>LK0025</v>
      </c>
      <c r="C8609" t="s">
        <v>6892</v>
      </c>
    </row>
    <row r="8610" spans="1:3" x14ac:dyDescent="0.25">
      <c r="A8610" t="str">
        <f>"0611831930100"</f>
        <v>0611831930100</v>
      </c>
      <c r="B8610" t="str">
        <f>"LK4639"</f>
        <v>LK4639</v>
      </c>
      <c r="C8610" t="s">
        <v>6893</v>
      </c>
    </row>
    <row r="8611" spans="1:3" x14ac:dyDescent="0.25">
      <c r="A8611" t="str">
        <f>"0611831931100"</f>
        <v>0611831931100</v>
      </c>
      <c r="B8611" t="str">
        <f>"LK4640"</f>
        <v>LK4640</v>
      </c>
      <c r="C8611" t="s">
        <v>6894</v>
      </c>
    </row>
    <row r="8612" spans="1:3" x14ac:dyDescent="0.25">
      <c r="A8612" t="str">
        <f>"0611831933100"</f>
        <v>0611831933100</v>
      </c>
      <c r="B8612" t="str">
        <f>"LB5793"</f>
        <v>LB5793</v>
      </c>
      <c r="C8612" t="s">
        <v>6895</v>
      </c>
    </row>
    <row r="8613" spans="1:3" x14ac:dyDescent="0.25">
      <c r="A8613" t="str">
        <f>"0611831943100"</f>
        <v>0611831943100</v>
      </c>
      <c r="B8613" t="str">
        <f>"LB5794"</f>
        <v>LB5794</v>
      </c>
      <c r="C8613" t="s">
        <v>6897</v>
      </c>
    </row>
    <row r="8614" spans="1:3" x14ac:dyDescent="0.25">
      <c r="A8614" t="str">
        <f>"0611831955100"</f>
        <v>0611831955100</v>
      </c>
      <c r="B8614" t="str">
        <f>"LK5725"</f>
        <v>LK5725</v>
      </c>
      <c r="C8614" t="s">
        <v>6900</v>
      </c>
    </row>
    <row r="8615" spans="1:3" x14ac:dyDescent="0.25">
      <c r="A8615" t="str">
        <f>"0611831963100"</f>
        <v>0611831963100</v>
      </c>
      <c r="B8615" t="str">
        <f>"LK4788"</f>
        <v>LK4788</v>
      </c>
      <c r="C8615" t="s">
        <v>6903</v>
      </c>
    </row>
    <row r="8616" spans="1:3" x14ac:dyDescent="0.25">
      <c r="A8616" t="str">
        <f>"0611831964100"</f>
        <v>0611831964100</v>
      </c>
      <c r="B8616" t="str">
        <f>"LK4789"</f>
        <v>LK4789</v>
      </c>
      <c r="C8616" t="s">
        <v>6904</v>
      </c>
    </row>
    <row r="8617" spans="1:3" x14ac:dyDescent="0.25">
      <c r="A8617" t="str">
        <f>"0611831965100"</f>
        <v>0611831965100</v>
      </c>
      <c r="B8617" t="str">
        <f>"LK4790"</f>
        <v>LK4790</v>
      </c>
      <c r="C8617" t="s">
        <v>6905</v>
      </c>
    </row>
    <row r="8618" spans="1:3" x14ac:dyDescent="0.25">
      <c r="A8618" t="str">
        <f>"0611831976100"</f>
        <v>0611831976100</v>
      </c>
      <c r="B8618" t="str">
        <f>"LK0023"</f>
        <v>LK0023</v>
      </c>
      <c r="C8618" t="s">
        <v>6907</v>
      </c>
    </row>
    <row r="8619" spans="1:3" x14ac:dyDescent="0.25">
      <c r="A8619" t="str">
        <f>"0611831984100"</f>
        <v>0611831984100</v>
      </c>
      <c r="B8619" t="str">
        <f>"LB2663"</f>
        <v>LB2663</v>
      </c>
      <c r="C8619" t="s">
        <v>6908</v>
      </c>
    </row>
    <row r="8620" spans="1:3" x14ac:dyDescent="0.25">
      <c r="A8620" t="str">
        <f>"0611831987100"</f>
        <v>0611831987100</v>
      </c>
      <c r="B8620" t="str">
        <f>"LK1200"</f>
        <v>LK1200</v>
      </c>
      <c r="C8620" t="s">
        <v>6910</v>
      </c>
    </row>
    <row r="8621" spans="1:3" x14ac:dyDescent="0.25">
      <c r="A8621" t="str">
        <f>"0611831988100"</f>
        <v>0611831988100</v>
      </c>
      <c r="B8621" t="str">
        <f>"LK1571"</f>
        <v>LK1571</v>
      </c>
      <c r="C8621" t="s">
        <v>6911</v>
      </c>
    </row>
    <row r="8622" spans="1:3" x14ac:dyDescent="0.25">
      <c r="A8622" t="str">
        <f>"0611831989100"</f>
        <v>0611831989100</v>
      </c>
      <c r="B8622" t="str">
        <f>"LK1683"</f>
        <v>LK1683</v>
      </c>
      <c r="C8622" t="s">
        <v>6912</v>
      </c>
    </row>
    <row r="8623" spans="1:3" x14ac:dyDescent="0.25">
      <c r="A8623" t="str">
        <f>"0611837056025"</f>
        <v>0611837056025</v>
      </c>
      <c r="B8623" t="str">
        <f>"MC2240"</f>
        <v>MC2240</v>
      </c>
      <c r="C8623" t="s">
        <v>8441</v>
      </c>
    </row>
    <row r="8624" spans="1:3" x14ac:dyDescent="0.25">
      <c r="A8624" t="str">
        <f>"0611832491100"</f>
        <v>0611832491100</v>
      </c>
      <c r="B8624" t="str">
        <f>"LK0307"</f>
        <v>LK0307</v>
      </c>
      <c r="C8624" t="s">
        <v>8442</v>
      </c>
    </row>
    <row r="8625" spans="1:3" x14ac:dyDescent="0.25">
      <c r="A8625" t="str">
        <f>"0611884356100"</f>
        <v>0611884356100</v>
      </c>
      <c r="B8625" t="str">
        <f>"LF1118"</f>
        <v>LF1118</v>
      </c>
      <c r="C8625" t="s">
        <v>8442</v>
      </c>
    </row>
    <row r="8626" spans="1:3" x14ac:dyDescent="0.25">
      <c r="A8626" t="str">
        <f>"0611837068100"</f>
        <v>0611837068100</v>
      </c>
      <c r="B8626" t="str">
        <f>"LH8941"</f>
        <v>LH8941</v>
      </c>
      <c r="C8626" t="s">
        <v>8443</v>
      </c>
    </row>
    <row r="8627" spans="1:3" x14ac:dyDescent="0.25">
      <c r="A8627" t="str">
        <f>"0611837071100"</f>
        <v>0611837071100</v>
      </c>
      <c r="B8627" t="str">
        <f>"LK5547"</f>
        <v>LK5547</v>
      </c>
      <c r="C8627" t="s">
        <v>8444</v>
      </c>
    </row>
    <row r="8628" spans="1:3" x14ac:dyDescent="0.25">
      <c r="A8628" t="str">
        <f>"0611837072100"</f>
        <v>0611837072100</v>
      </c>
      <c r="B8628" t="str">
        <f>"LK6250"</f>
        <v>LK6250</v>
      </c>
      <c r="C8628" t="s">
        <v>8445</v>
      </c>
    </row>
    <row r="8629" spans="1:3" x14ac:dyDescent="0.25">
      <c r="A8629" t="str">
        <f>"0611906862100"</f>
        <v>0611906862100</v>
      </c>
      <c r="B8629" t="str">
        <f>"LK7218"</f>
        <v>LK7218</v>
      </c>
      <c r="C8629" t="s">
        <v>8446</v>
      </c>
    </row>
    <row r="8630" spans="1:3" x14ac:dyDescent="0.25">
      <c r="A8630" t="str">
        <f>"0611837073100"</f>
        <v>0611837073100</v>
      </c>
      <c r="B8630" t="str">
        <f>"LK4792"</f>
        <v>LK4792</v>
      </c>
      <c r="C8630" t="s">
        <v>8447</v>
      </c>
    </row>
    <row r="8631" spans="1:3" x14ac:dyDescent="0.25">
      <c r="A8631" t="str">
        <f>"0611837074100"</f>
        <v>0611837074100</v>
      </c>
      <c r="B8631" t="str">
        <f>"LK4793"</f>
        <v>LK4793</v>
      </c>
      <c r="C8631" t="s">
        <v>8448</v>
      </c>
    </row>
    <row r="8632" spans="1:3" x14ac:dyDescent="0.25">
      <c r="A8632" t="str">
        <f>"0611837075100"</f>
        <v>0611837075100</v>
      </c>
      <c r="B8632" t="str">
        <f>"LK4794"</f>
        <v>LK4794</v>
      </c>
      <c r="C8632" t="s">
        <v>8449</v>
      </c>
    </row>
    <row r="8633" spans="1:3" x14ac:dyDescent="0.25">
      <c r="A8633" t="str">
        <f>"0611837076100"</f>
        <v>0611837076100</v>
      </c>
      <c r="B8633" t="str">
        <f>"LK6535"</f>
        <v>LK6535</v>
      </c>
      <c r="C8633" t="s">
        <v>8450</v>
      </c>
    </row>
    <row r="8634" spans="1:3" x14ac:dyDescent="0.25">
      <c r="A8634" t="str">
        <f>"0611837077100"</f>
        <v>0611837077100</v>
      </c>
      <c r="B8634" t="str">
        <f>"LK4795"</f>
        <v>LK4795</v>
      </c>
      <c r="C8634" t="s">
        <v>8451</v>
      </c>
    </row>
    <row r="8635" spans="1:3" x14ac:dyDescent="0.25">
      <c r="A8635" t="str">
        <f>"0611837078100"</f>
        <v>0611837078100</v>
      </c>
      <c r="B8635" t="str">
        <f>"LK4956"</f>
        <v>LK4956</v>
      </c>
      <c r="C8635" t="s">
        <v>8452</v>
      </c>
    </row>
    <row r="8636" spans="1:3" x14ac:dyDescent="0.25">
      <c r="A8636" t="str">
        <f>"0611837079100"</f>
        <v>0611837079100</v>
      </c>
      <c r="B8636" t="str">
        <f>"LK3300"</f>
        <v>LK3300</v>
      </c>
      <c r="C8636" t="s">
        <v>8453</v>
      </c>
    </row>
    <row r="8637" spans="1:3" x14ac:dyDescent="0.25">
      <c r="A8637" t="str">
        <f>"0611837080100"</f>
        <v>0611837080100</v>
      </c>
      <c r="B8637" t="str">
        <f>"LK3301"</f>
        <v>LK3301</v>
      </c>
      <c r="C8637" t="s">
        <v>8454</v>
      </c>
    </row>
    <row r="8638" spans="1:3" x14ac:dyDescent="0.25">
      <c r="A8638" t="str">
        <f>"0611837081100"</f>
        <v>0611837081100</v>
      </c>
      <c r="B8638" t="str">
        <f>"LK3799"</f>
        <v>LK3799</v>
      </c>
      <c r="C8638" t="s">
        <v>8455</v>
      </c>
    </row>
    <row r="8639" spans="1:3" x14ac:dyDescent="0.25">
      <c r="A8639" t="str">
        <f>"0611837084100"</f>
        <v>0611837084100</v>
      </c>
      <c r="B8639" t="str">
        <f>"LK3303"</f>
        <v>LK3303</v>
      </c>
      <c r="C8639" t="s">
        <v>8456</v>
      </c>
    </row>
    <row r="8640" spans="1:3" x14ac:dyDescent="0.25">
      <c r="A8640" t="str">
        <f>"0611837087100"</f>
        <v>0611837087100</v>
      </c>
      <c r="B8640" t="str">
        <f>"LQ5609"</f>
        <v>LQ5609</v>
      </c>
      <c r="C8640" t="s">
        <v>8457</v>
      </c>
    </row>
    <row r="8641" spans="1:3" x14ac:dyDescent="0.25">
      <c r="A8641" t="str">
        <f>"0611837090100"</f>
        <v>0611837090100</v>
      </c>
      <c r="B8641" t="str">
        <f>"LQ3759"</f>
        <v>LQ3759</v>
      </c>
      <c r="C8641" t="s">
        <v>8458</v>
      </c>
    </row>
    <row r="8642" spans="1:3" x14ac:dyDescent="0.25">
      <c r="A8642" t="str">
        <f>"0611837091100"</f>
        <v>0611837091100</v>
      </c>
      <c r="B8642" t="str">
        <f>"LK6968"</f>
        <v>LK6968</v>
      </c>
      <c r="C8642" t="s">
        <v>8459</v>
      </c>
    </row>
    <row r="8643" spans="1:3" x14ac:dyDescent="0.25">
      <c r="A8643" t="str">
        <f>"0611837092025"</f>
        <v>0611837092025</v>
      </c>
      <c r="B8643" t="str">
        <f>"MC3772"</f>
        <v>MC3772</v>
      </c>
      <c r="C8643" t="s">
        <v>8460</v>
      </c>
    </row>
    <row r="8644" spans="1:3" x14ac:dyDescent="0.25">
      <c r="A8644" t="str">
        <f>"0611863330050"</f>
        <v>0611863330050</v>
      </c>
      <c r="B8644" t="str">
        <f>"CR2876"</f>
        <v>CR2876</v>
      </c>
      <c r="C8644" t="s">
        <v>8461</v>
      </c>
    </row>
    <row r="8645" spans="1:3" x14ac:dyDescent="0.25">
      <c r="A8645" t="str">
        <f>"0611863331050"</f>
        <v>0611863331050</v>
      </c>
      <c r="B8645" t="str">
        <f>"CR4082"</f>
        <v>CR4082</v>
      </c>
      <c r="C8645" t="s">
        <v>8462</v>
      </c>
    </row>
    <row r="8646" spans="1:3" x14ac:dyDescent="0.25">
      <c r="A8646" t="str">
        <f>"0611863332050"</f>
        <v>0611863332050</v>
      </c>
      <c r="B8646" t="str">
        <f>"CR2440"</f>
        <v>CR2440</v>
      </c>
      <c r="C8646" t="s">
        <v>8463</v>
      </c>
    </row>
    <row r="8647" spans="1:3" x14ac:dyDescent="0.25">
      <c r="A8647" t="str">
        <f>"0611863333050"</f>
        <v>0611863333050</v>
      </c>
      <c r="B8647" t="str">
        <f>"CR4083"</f>
        <v>CR4083</v>
      </c>
      <c r="C8647" t="s">
        <v>8464</v>
      </c>
    </row>
    <row r="8648" spans="1:3" x14ac:dyDescent="0.25">
      <c r="A8648" t="str">
        <f>"0611863334050"</f>
        <v>0611863334050</v>
      </c>
      <c r="B8648" t="str">
        <f>"CR5210"</f>
        <v>CR5210</v>
      </c>
      <c r="C8648" t="s">
        <v>8465</v>
      </c>
    </row>
    <row r="8649" spans="1:3" x14ac:dyDescent="0.25">
      <c r="A8649" t="str">
        <f>"0611863335050"</f>
        <v>0611863335050</v>
      </c>
      <c r="B8649" t="str">
        <f>"CR2441"</f>
        <v>CR2441</v>
      </c>
      <c r="C8649" t="s">
        <v>8466</v>
      </c>
    </row>
    <row r="8650" spans="1:3" x14ac:dyDescent="0.25">
      <c r="A8650" t="str">
        <f>"0611906584050"</f>
        <v>0611906584050</v>
      </c>
      <c r="B8650" t="str">
        <f>"CR5498"</f>
        <v>CR5498</v>
      </c>
      <c r="C8650" t="s">
        <v>8467</v>
      </c>
    </row>
    <row r="8651" spans="1:3" x14ac:dyDescent="0.25">
      <c r="A8651" t="str">
        <f>"0611863336050"</f>
        <v>0611863336050</v>
      </c>
      <c r="B8651" t="str">
        <f>"CR5211"</f>
        <v>CR5211</v>
      </c>
      <c r="C8651" t="s">
        <v>8468</v>
      </c>
    </row>
    <row r="8652" spans="1:3" x14ac:dyDescent="0.25">
      <c r="A8652" t="str">
        <f>"0611893640050"</f>
        <v>0611893640050</v>
      </c>
      <c r="B8652" t="str">
        <f>"CR5448"</f>
        <v>CR5448</v>
      </c>
      <c r="C8652" t="s">
        <v>8469</v>
      </c>
    </row>
    <row r="8653" spans="1:3" x14ac:dyDescent="0.25">
      <c r="A8653" t="str">
        <f>"0611863337050"</f>
        <v>0611863337050</v>
      </c>
      <c r="B8653" t="str">
        <f>"CR5212"</f>
        <v>CR5212</v>
      </c>
      <c r="C8653" t="s">
        <v>8470</v>
      </c>
    </row>
    <row r="8654" spans="1:3" x14ac:dyDescent="0.25">
      <c r="A8654" t="str">
        <f>"0611863338050"</f>
        <v>0611863338050</v>
      </c>
      <c r="B8654" t="str">
        <f>"CR2880"</f>
        <v>CR2880</v>
      </c>
      <c r="C8654" t="s">
        <v>13915</v>
      </c>
    </row>
    <row r="8655" spans="1:3" x14ac:dyDescent="0.25">
      <c r="A8655" t="str">
        <f>"0611863339050"</f>
        <v>0611863339050</v>
      </c>
      <c r="B8655" t="str">
        <f>"CR2723"</f>
        <v>CR2723</v>
      </c>
      <c r="C8655" t="s">
        <v>8471</v>
      </c>
    </row>
    <row r="8656" spans="1:3" x14ac:dyDescent="0.25">
      <c r="A8656" t="str">
        <f>"0611863340050"</f>
        <v>0611863340050</v>
      </c>
      <c r="B8656" t="str">
        <f>"CR2882"</f>
        <v>CR2882</v>
      </c>
      <c r="C8656" t="s">
        <v>8472</v>
      </c>
    </row>
    <row r="8657" spans="1:3" x14ac:dyDescent="0.25">
      <c r="A8657" t="str">
        <f>"0611863341050"</f>
        <v>0611863341050</v>
      </c>
      <c r="B8657" t="str">
        <f>"CR3900"</f>
        <v>CR3900</v>
      </c>
      <c r="C8657" t="s">
        <v>8473</v>
      </c>
    </row>
    <row r="8658" spans="1:3" x14ac:dyDescent="0.25">
      <c r="A8658" t="str">
        <f>"0611863342050"</f>
        <v>0611863342050</v>
      </c>
      <c r="B8658" t="str">
        <f>"CR5213"</f>
        <v>CR5213</v>
      </c>
      <c r="C8658" t="s">
        <v>8474</v>
      </c>
    </row>
    <row r="8659" spans="1:3" x14ac:dyDescent="0.25">
      <c r="A8659" t="str">
        <f>"0611863343050"</f>
        <v>0611863343050</v>
      </c>
      <c r="B8659" t="str">
        <f>"CR5214"</f>
        <v>CR5214</v>
      </c>
      <c r="C8659" t="s">
        <v>8475</v>
      </c>
    </row>
    <row r="8660" spans="1:3" x14ac:dyDescent="0.25">
      <c r="A8660" t="str">
        <f>"0611863344050"</f>
        <v>0611863344050</v>
      </c>
      <c r="B8660" t="str">
        <f>"CR5215"</f>
        <v>CR5215</v>
      </c>
      <c r="C8660" t="s">
        <v>8476</v>
      </c>
    </row>
    <row r="8661" spans="1:3" x14ac:dyDescent="0.25">
      <c r="A8661" t="str">
        <f>"0611863345050"</f>
        <v>0611863345050</v>
      </c>
      <c r="B8661" t="str">
        <f>"CR5216"</f>
        <v>CR5216</v>
      </c>
      <c r="C8661" t="s">
        <v>8477</v>
      </c>
    </row>
    <row r="8662" spans="1:3" x14ac:dyDescent="0.25">
      <c r="A8662" t="str">
        <f>"0611906585050"</f>
        <v>0611906585050</v>
      </c>
      <c r="B8662" t="str">
        <f>"CR5499"</f>
        <v>CR5499</v>
      </c>
      <c r="C8662" t="s">
        <v>8478</v>
      </c>
    </row>
    <row r="8663" spans="1:3" x14ac:dyDescent="0.25">
      <c r="A8663" t="str">
        <f>"0611863346050"</f>
        <v>0611863346050</v>
      </c>
      <c r="B8663" t="str">
        <f>"CR5217"</f>
        <v>CR5217</v>
      </c>
      <c r="C8663" t="s">
        <v>8479</v>
      </c>
    </row>
    <row r="8664" spans="1:3" x14ac:dyDescent="0.25">
      <c r="A8664" t="str">
        <f>"0611863347050"</f>
        <v>0611863347050</v>
      </c>
      <c r="B8664" t="str">
        <f>"CR2442"</f>
        <v>CR2442</v>
      </c>
      <c r="C8664" t="s">
        <v>8480</v>
      </c>
    </row>
    <row r="8665" spans="1:3" x14ac:dyDescent="0.25">
      <c r="A8665" t="str">
        <f>"0611863348050"</f>
        <v>0611863348050</v>
      </c>
      <c r="B8665" t="str">
        <f>"CR2724"</f>
        <v>CR2724</v>
      </c>
      <c r="C8665" t="s">
        <v>8481</v>
      </c>
    </row>
    <row r="8666" spans="1:3" x14ac:dyDescent="0.25">
      <c r="A8666" t="str">
        <f>"0611863349050"</f>
        <v>0611863349050</v>
      </c>
      <c r="B8666" t="str">
        <f>"CR2885"</f>
        <v>CR2885</v>
      </c>
      <c r="C8666" t="s">
        <v>8482</v>
      </c>
    </row>
    <row r="8667" spans="1:3" x14ac:dyDescent="0.25">
      <c r="A8667" t="str">
        <f>"0611863350050"</f>
        <v>0611863350050</v>
      </c>
      <c r="B8667" t="str">
        <f>"CR2726"</f>
        <v>CR2726</v>
      </c>
      <c r="C8667" t="s">
        <v>13916</v>
      </c>
    </row>
    <row r="8668" spans="1:3" x14ac:dyDescent="0.25">
      <c r="A8668" t="str">
        <f>"0611863351050"</f>
        <v>0611863351050</v>
      </c>
      <c r="B8668" t="str">
        <f>"CR2443"</f>
        <v>CR2443</v>
      </c>
      <c r="C8668" t="s">
        <v>8483</v>
      </c>
    </row>
    <row r="8669" spans="1:3" x14ac:dyDescent="0.25">
      <c r="A8669" t="str">
        <f>"0611863352050"</f>
        <v>0611863352050</v>
      </c>
      <c r="B8669" t="str">
        <f>"CR2444"</f>
        <v>CR2444</v>
      </c>
      <c r="C8669" t="s">
        <v>8484</v>
      </c>
    </row>
    <row r="8670" spans="1:3" x14ac:dyDescent="0.25">
      <c r="A8670" t="str">
        <f>"0611837094100"</f>
        <v>0611837094100</v>
      </c>
      <c r="B8670" t="str">
        <f>"LQ6099"</f>
        <v>LQ6099</v>
      </c>
      <c r="C8670" t="s">
        <v>8485</v>
      </c>
    </row>
    <row r="8671" spans="1:3" x14ac:dyDescent="0.25">
      <c r="A8671" t="str">
        <f>"0611837096100"</f>
        <v>0611837096100</v>
      </c>
      <c r="B8671" t="str">
        <f>"LQ6000"</f>
        <v>LQ6000</v>
      </c>
      <c r="C8671" t="s">
        <v>8486</v>
      </c>
    </row>
    <row r="8672" spans="1:3" x14ac:dyDescent="0.25">
      <c r="A8672" t="str">
        <f>"0611837097100"</f>
        <v>0611837097100</v>
      </c>
      <c r="B8672" t="str">
        <f>"LQ5924"</f>
        <v>LQ5924</v>
      </c>
      <c r="C8672" t="s">
        <v>8487</v>
      </c>
    </row>
    <row r="8673" spans="1:3" x14ac:dyDescent="0.25">
      <c r="A8673" t="str">
        <f>"0611837098100"</f>
        <v>0611837098100</v>
      </c>
      <c r="B8673" t="str">
        <f>"LQ6100"</f>
        <v>LQ6100</v>
      </c>
      <c r="C8673" t="s">
        <v>8488</v>
      </c>
    </row>
    <row r="8674" spans="1:3" x14ac:dyDescent="0.25">
      <c r="A8674" t="str">
        <f>"0611857040100"</f>
        <v>0611857040100</v>
      </c>
      <c r="B8674" t="str">
        <f>"LQ6253"</f>
        <v>LQ6253</v>
      </c>
      <c r="C8674" t="s">
        <v>8489</v>
      </c>
    </row>
    <row r="8675" spans="1:3" x14ac:dyDescent="0.25">
      <c r="A8675" t="str">
        <f>"0611837099100"</f>
        <v>0611837099100</v>
      </c>
      <c r="B8675" t="str">
        <f>"LQ6101"</f>
        <v>LQ6101</v>
      </c>
      <c r="C8675" t="s">
        <v>8490</v>
      </c>
    </row>
    <row r="8676" spans="1:3" x14ac:dyDescent="0.25">
      <c r="A8676" t="str">
        <f>"0611837101100"</f>
        <v>0611837101100</v>
      </c>
      <c r="B8676" t="str">
        <f>"LQ5404"</f>
        <v>LQ5404</v>
      </c>
      <c r="C8676" t="s">
        <v>8491</v>
      </c>
    </row>
    <row r="8677" spans="1:3" x14ac:dyDescent="0.25">
      <c r="A8677" t="str">
        <f>"0611837102100"</f>
        <v>0611837102100</v>
      </c>
      <c r="B8677" t="str">
        <f>"LQ5074"</f>
        <v>LQ5074</v>
      </c>
      <c r="C8677" t="s">
        <v>8492</v>
      </c>
    </row>
    <row r="8678" spans="1:3" x14ac:dyDescent="0.25">
      <c r="A8678" t="str">
        <f>"0611837103100"</f>
        <v>0611837103100</v>
      </c>
      <c r="B8678" t="str">
        <f>"LQ5405"</f>
        <v>LQ5405</v>
      </c>
      <c r="C8678" t="s">
        <v>8493</v>
      </c>
    </row>
    <row r="8679" spans="1:3" x14ac:dyDescent="0.25">
      <c r="A8679" t="str">
        <f>"0611837104100"</f>
        <v>0611837104100</v>
      </c>
      <c r="B8679" t="str">
        <f>"LQ0431"</f>
        <v>LQ0431</v>
      </c>
      <c r="C8679" t="s">
        <v>8494</v>
      </c>
    </row>
    <row r="8680" spans="1:3" x14ac:dyDescent="0.25">
      <c r="A8680" t="str">
        <f>"0611884337100"</f>
        <v>0611884337100</v>
      </c>
      <c r="B8680" t="str">
        <f>"LQ6295"</f>
        <v>LQ6295</v>
      </c>
      <c r="C8680" t="s">
        <v>8495</v>
      </c>
    </row>
    <row r="8681" spans="1:3" x14ac:dyDescent="0.25">
      <c r="A8681" t="str">
        <f>"0611837105100"</f>
        <v>0611837105100</v>
      </c>
      <c r="B8681" t="str">
        <f>"LQ6241"</f>
        <v>LQ6241</v>
      </c>
      <c r="C8681" t="s">
        <v>8496</v>
      </c>
    </row>
    <row r="8682" spans="1:3" x14ac:dyDescent="0.25">
      <c r="A8682" t="str">
        <f>"0611906863100"</f>
        <v>0611906863100</v>
      </c>
      <c r="B8682" t="str">
        <f>"LQ6320"</f>
        <v>LQ6320</v>
      </c>
      <c r="C8682" t="s">
        <v>8497</v>
      </c>
    </row>
    <row r="8683" spans="1:3" x14ac:dyDescent="0.25">
      <c r="A8683" t="str">
        <f>"0611837108100"</f>
        <v>0611837108100</v>
      </c>
      <c r="B8683" t="str">
        <f>"LQ5836"</f>
        <v>LQ5836</v>
      </c>
      <c r="C8683" t="s">
        <v>8498</v>
      </c>
    </row>
    <row r="8684" spans="1:3" x14ac:dyDescent="0.25">
      <c r="A8684" t="str">
        <f>"0611837109100"</f>
        <v>0611837109100</v>
      </c>
      <c r="B8684" t="str">
        <f>"LQ5922"</f>
        <v>LQ5922</v>
      </c>
      <c r="C8684" t="s">
        <v>8499</v>
      </c>
    </row>
    <row r="8685" spans="1:3" x14ac:dyDescent="0.25">
      <c r="A8685" t="str">
        <f>"0611837110100"</f>
        <v>0611837110100</v>
      </c>
      <c r="B8685" t="str">
        <f>"LQ5837"</f>
        <v>LQ5837</v>
      </c>
      <c r="C8685" t="s">
        <v>8500</v>
      </c>
    </row>
    <row r="8686" spans="1:3" x14ac:dyDescent="0.25">
      <c r="A8686" t="str">
        <f>"0611884338100"</f>
        <v>0611884338100</v>
      </c>
      <c r="B8686" t="str">
        <f>"LQ6296"</f>
        <v>LQ6296</v>
      </c>
      <c r="C8686" t="s">
        <v>8501</v>
      </c>
    </row>
    <row r="8687" spans="1:3" x14ac:dyDescent="0.25">
      <c r="A8687" t="str">
        <f>"0611837113100"</f>
        <v>0611837113100</v>
      </c>
      <c r="B8687" t="str">
        <f>"LQ6203"</f>
        <v>LQ6203</v>
      </c>
      <c r="C8687" t="s">
        <v>8502</v>
      </c>
    </row>
    <row r="8688" spans="1:3" x14ac:dyDescent="0.25">
      <c r="A8688" t="str">
        <f>"0611837114100"</f>
        <v>0611837114100</v>
      </c>
      <c r="B8688" t="str">
        <f>"LB5739"</f>
        <v>LB5739</v>
      </c>
      <c r="C8688" t="s">
        <v>8503</v>
      </c>
    </row>
    <row r="8689" spans="1:3" x14ac:dyDescent="0.25">
      <c r="A8689" t="str">
        <f>"0611884339100"</f>
        <v>0611884339100</v>
      </c>
      <c r="B8689" t="str">
        <f>"LQ0973"</f>
        <v>LQ0973</v>
      </c>
      <c r="C8689" t="s">
        <v>8504</v>
      </c>
    </row>
    <row r="8690" spans="1:3" x14ac:dyDescent="0.25">
      <c r="A8690" t="str">
        <f>"0611863353050"</f>
        <v>0611863353050</v>
      </c>
      <c r="B8690" t="str">
        <f>"CR2447"</f>
        <v>CR2447</v>
      </c>
      <c r="C8690" t="s">
        <v>8505</v>
      </c>
    </row>
    <row r="8691" spans="1:3" x14ac:dyDescent="0.25">
      <c r="A8691" t="str">
        <f>"0611863354050"</f>
        <v>0611863354050</v>
      </c>
      <c r="B8691" t="str">
        <f>"CR2448"</f>
        <v>CR2448</v>
      </c>
      <c r="C8691" t="s">
        <v>8506</v>
      </c>
    </row>
    <row r="8692" spans="1:3" x14ac:dyDescent="0.25">
      <c r="A8692" t="str">
        <f>"0611863355050"</f>
        <v>0611863355050</v>
      </c>
      <c r="B8692" t="str">
        <f>"CE0475"</f>
        <v>CE0475</v>
      </c>
      <c r="C8692" t="s">
        <v>8507</v>
      </c>
    </row>
    <row r="8693" spans="1:3" x14ac:dyDescent="0.25">
      <c r="A8693" t="str">
        <f>"0611863356050"</f>
        <v>0611863356050</v>
      </c>
      <c r="B8693" t="str">
        <f>"CE0476"</f>
        <v>CE0476</v>
      </c>
      <c r="C8693" t="s">
        <v>8508</v>
      </c>
    </row>
    <row r="8694" spans="1:3" x14ac:dyDescent="0.25">
      <c r="A8694" t="str">
        <f>"0611863357050"</f>
        <v>0611863357050</v>
      </c>
      <c r="B8694" t="str">
        <f>"CE1447"</f>
        <v>CE1447</v>
      </c>
      <c r="C8694" t="s">
        <v>8509</v>
      </c>
    </row>
    <row r="8695" spans="1:3" x14ac:dyDescent="0.25">
      <c r="A8695" t="str">
        <f>"0611863358050"</f>
        <v>0611863358050</v>
      </c>
      <c r="B8695" t="str">
        <f>"CE0477"</f>
        <v>CE0477</v>
      </c>
      <c r="C8695" t="s">
        <v>8510</v>
      </c>
    </row>
    <row r="8696" spans="1:3" x14ac:dyDescent="0.25">
      <c r="A8696" t="str">
        <f>"0611863359050"</f>
        <v>0611863359050</v>
      </c>
      <c r="B8696" t="str">
        <f>"CE1236"</f>
        <v>CE1236</v>
      </c>
      <c r="C8696" t="s">
        <v>8511</v>
      </c>
    </row>
    <row r="8697" spans="1:3" x14ac:dyDescent="0.25">
      <c r="A8697" t="str">
        <f>"0611863360050"</f>
        <v>0611863360050</v>
      </c>
      <c r="B8697" t="str">
        <f>"CE0478"</f>
        <v>CE0478</v>
      </c>
      <c r="C8697" t="s">
        <v>8512</v>
      </c>
    </row>
    <row r="8698" spans="1:3" x14ac:dyDescent="0.25">
      <c r="A8698" t="str">
        <f>"0611863361050"</f>
        <v>0611863361050</v>
      </c>
      <c r="B8698" t="str">
        <f>"CE0485"</f>
        <v>CE0485</v>
      </c>
      <c r="C8698" t="s">
        <v>8513</v>
      </c>
    </row>
    <row r="8699" spans="1:3" x14ac:dyDescent="0.25">
      <c r="A8699" t="str">
        <f>"0611863362050"</f>
        <v>0611863362050</v>
      </c>
      <c r="B8699" t="str">
        <f>"CE1360"</f>
        <v>CE1360</v>
      </c>
      <c r="C8699" t="s">
        <v>8514</v>
      </c>
    </row>
    <row r="8700" spans="1:3" x14ac:dyDescent="0.25">
      <c r="A8700" t="str">
        <f>"0611863363050"</f>
        <v>0611863363050</v>
      </c>
      <c r="B8700" t="str">
        <f>"CE1492"</f>
        <v>CE1492</v>
      </c>
      <c r="C8700" t="s">
        <v>8515</v>
      </c>
    </row>
    <row r="8701" spans="1:3" x14ac:dyDescent="0.25">
      <c r="A8701" t="str">
        <f>"0611863366050"</f>
        <v>0611863366050</v>
      </c>
      <c r="B8701" t="str">
        <f>"CE0482"</f>
        <v>CE0482</v>
      </c>
      <c r="C8701" t="s">
        <v>8516</v>
      </c>
    </row>
    <row r="8702" spans="1:3" x14ac:dyDescent="0.25">
      <c r="A8702" t="str">
        <f>"0611863367050"</f>
        <v>0611863367050</v>
      </c>
      <c r="B8702" t="str">
        <f>"CE0483"</f>
        <v>CE0483</v>
      </c>
      <c r="C8702" t="s">
        <v>8517</v>
      </c>
    </row>
    <row r="8703" spans="1:3" x14ac:dyDescent="0.25">
      <c r="A8703" t="str">
        <f>"0611863368050"</f>
        <v>0611863368050</v>
      </c>
      <c r="B8703" t="str">
        <f>"CE0484"</f>
        <v>CE0484</v>
      </c>
      <c r="C8703" t="s">
        <v>8518</v>
      </c>
    </row>
    <row r="8704" spans="1:3" x14ac:dyDescent="0.25">
      <c r="A8704" t="str">
        <f>"0611837115100"</f>
        <v>0611837115100</v>
      </c>
      <c r="B8704" t="str">
        <f>"LK2575"</f>
        <v>LK2575</v>
      </c>
      <c r="C8704" t="s">
        <v>8519</v>
      </c>
    </row>
    <row r="8705" spans="1:3" x14ac:dyDescent="0.25">
      <c r="A8705" t="str">
        <f>"0611837116100"</f>
        <v>0611837116100</v>
      </c>
      <c r="B8705" t="str">
        <f>"LK2576"</f>
        <v>LK2576</v>
      </c>
      <c r="C8705" t="s">
        <v>8520</v>
      </c>
    </row>
    <row r="8706" spans="1:3" x14ac:dyDescent="0.25">
      <c r="A8706" t="str">
        <f>"0611837117100"</f>
        <v>0611837117100</v>
      </c>
      <c r="B8706" t="str">
        <f>"LG5410"</f>
        <v>LG5410</v>
      </c>
      <c r="C8706" t="s">
        <v>8521</v>
      </c>
    </row>
    <row r="8707" spans="1:3" x14ac:dyDescent="0.25">
      <c r="A8707" t="str">
        <f>"0611837118100"</f>
        <v>0611837118100</v>
      </c>
      <c r="B8707" t="str">
        <f>"LK2577"</f>
        <v>LK2577</v>
      </c>
      <c r="C8707" t="s">
        <v>8522</v>
      </c>
    </row>
    <row r="8708" spans="1:3" x14ac:dyDescent="0.25">
      <c r="A8708" t="str">
        <f>"0611837119100"</f>
        <v>0611837119100</v>
      </c>
      <c r="B8708" t="str">
        <f>"LG5411"</f>
        <v>LG5411</v>
      </c>
      <c r="C8708" t="s">
        <v>8523</v>
      </c>
    </row>
    <row r="8709" spans="1:3" x14ac:dyDescent="0.25">
      <c r="A8709" t="str">
        <f>"0611884340100"</f>
        <v>0611884340100</v>
      </c>
      <c r="B8709" t="str">
        <f>"LQ3827"</f>
        <v>LQ3827</v>
      </c>
      <c r="C8709" t="s">
        <v>8524</v>
      </c>
    </row>
    <row r="8710" spans="1:3" x14ac:dyDescent="0.25">
      <c r="A8710" t="str">
        <f>"0611863369100"</f>
        <v>0611863369100</v>
      </c>
      <c r="B8710" t="str">
        <f>"CN2233"</f>
        <v>CN2233</v>
      </c>
      <c r="C8710" t="s">
        <v>8525</v>
      </c>
    </row>
    <row r="8711" spans="1:3" x14ac:dyDescent="0.25">
      <c r="A8711" t="str">
        <f>"0611837120100"</f>
        <v>0611837120100</v>
      </c>
      <c r="B8711" t="str">
        <f>"LF0045"</f>
        <v>LF0045</v>
      </c>
      <c r="C8711" t="s">
        <v>8526</v>
      </c>
    </row>
    <row r="8712" spans="1:3" x14ac:dyDescent="0.25">
      <c r="A8712" t="str">
        <f>"0611863370100"</f>
        <v>0611863370100</v>
      </c>
      <c r="B8712" t="str">
        <f>"CN5279"</f>
        <v>CN5279</v>
      </c>
      <c r="C8712" t="s">
        <v>8527</v>
      </c>
    </row>
    <row r="8713" spans="1:3" x14ac:dyDescent="0.25">
      <c r="A8713" t="str">
        <f>"0611863371050"</f>
        <v>0611863371050</v>
      </c>
      <c r="B8713" t="str">
        <f>"CR4397"</f>
        <v>CR4397</v>
      </c>
      <c r="C8713" t="s">
        <v>13917</v>
      </c>
    </row>
    <row r="8714" spans="1:3" x14ac:dyDescent="0.25">
      <c r="A8714" t="str">
        <f>"0611863372100"</f>
        <v>0611863372100</v>
      </c>
      <c r="B8714" t="str">
        <f>"CN5280"</f>
        <v>CN5280</v>
      </c>
      <c r="C8714" t="s">
        <v>8528</v>
      </c>
    </row>
    <row r="8715" spans="1:3" x14ac:dyDescent="0.25">
      <c r="A8715" t="str">
        <f>"0611837122025"</f>
        <v>0611837122025</v>
      </c>
      <c r="B8715" t="str">
        <f>"MC4085"</f>
        <v>MC4085</v>
      </c>
      <c r="C8715" t="s">
        <v>8529</v>
      </c>
    </row>
    <row r="8716" spans="1:3" x14ac:dyDescent="0.25">
      <c r="A8716" t="str">
        <f>"0611863373100"</f>
        <v>0611863373100</v>
      </c>
      <c r="B8716" t="str">
        <f>"CN5282"</f>
        <v>CN5282</v>
      </c>
      <c r="C8716" t="s">
        <v>8530</v>
      </c>
    </row>
    <row r="8717" spans="1:3" x14ac:dyDescent="0.25">
      <c r="A8717" t="str">
        <f>"0611863374100"</f>
        <v>0611863374100</v>
      </c>
      <c r="B8717" t="str">
        <f>"CN5281"</f>
        <v>CN5281</v>
      </c>
      <c r="C8717" t="s">
        <v>8531</v>
      </c>
    </row>
    <row r="8718" spans="1:3" x14ac:dyDescent="0.25">
      <c r="A8718" t="str">
        <f>"0611837123100"</f>
        <v>0611837123100</v>
      </c>
      <c r="B8718" t="str">
        <f>"LH6140"</f>
        <v>LH6140</v>
      </c>
      <c r="C8718" t="s">
        <v>8532</v>
      </c>
    </row>
    <row r="8719" spans="1:3" x14ac:dyDescent="0.25">
      <c r="A8719" t="str">
        <f>"0611837124025"</f>
        <v>0611837124025</v>
      </c>
      <c r="B8719" t="str">
        <f>"MC0560"</f>
        <v>MC0560</v>
      </c>
      <c r="C8719" t="s">
        <v>8533</v>
      </c>
    </row>
    <row r="8720" spans="1:3" x14ac:dyDescent="0.25">
      <c r="A8720" t="str">
        <f>"0611863375100"</f>
        <v>0611863375100</v>
      </c>
      <c r="B8720" t="str">
        <f>"CN2234"</f>
        <v>CN2234</v>
      </c>
      <c r="C8720" t="s">
        <v>8534</v>
      </c>
    </row>
    <row r="8721" spans="1:3" x14ac:dyDescent="0.25">
      <c r="A8721" t="str">
        <f>"0611863376100"</f>
        <v>0611863376100</v>
      </c>
      <c r="B8721" t="str">
        <f>"CN2235"</f>
        <v>CN2235</v>
      </c>
      <c r="C8721" t="s">
        <v>8535</v>
      </c>
    </row>
    <row r="8722" spans="1:3" x14ac:dyDescent="0.25">
      <c r="A8722" t="str">
        <f>"0611863377100"</f>
        <v>0611863377100</v>
      </c>
      <c r="B8722" t="str">
        <f>"CN2236"</f>
        <v>CN2236</v>
      </c>
      <c r="C8722" t="s">
        <v>8536</v>
      </c>
    </row>
    <row r="8723" spans="1:3" x14ac:dyDescent="0.25">
      <c r="A8723" t="str">
        <f>"0611837132025"</f>
        <v>0611837132025</v>
      </c>
      <c r="B8723" t="str">
        <f>"MC1932"</f>
        <v>MC1932</v>
      </c>
      <c r="C8723" t="s">
        <v>8553</v>
      </c>
    </row>
    <row r="8724" spans="1:3" x14ac:dyDescent="0.25">
      <c r="A8724" t="str">
        <f>"0611837133025"</f>
        <v>0611837133025</v>
      </c>
      <c r="B8724" t="str">
        <f>"MC2711"</f>
        <v>MC2711</v>
      </c>
      <c r="C8724" t="s">
        <v>8554</v>
      </c>
    </row>
    <row r="8725" spans="1:3" x14ac:dyDescent="0.25">
      <c r="A8725" t="str">
        <f>"0611837134025"</f>
        <v>0611837134025</v>
      </c>
      <c r="B8725" t="str">
        <f>"MC3889"</f>
        <v>MC3889</v>
      </c>
      <c r="C8725" t="s">
        <v>8555</v>
      </c>
    </row>
    <row r="8726" spans="1:3" x14ac:dyDescent="0.25">
      <c r="A8726" t="str">
        <f>"0611840089100"</f>
        <v>0611840089100</v>
      </c>
      <c r="B8726" t="str">
        <f>"LK6158"</f>
        <v>LK6158</v>
      </c>
      <c r="C8726" t="s">
        <v>8556</v>
      </c>
    </row>
    <row r="8727" spans="1:3" x14ac:dyDescent="0.25">
      <c r="A8727" t="str">
        <f>"0611840090100"</f>
        <v>0611840090100</v>
      </c>
      <c r="B8727" t="str">
        <f>"LK6159"</f>
        <v>LK6159</v>
      </c>
      <c r="C8727" t="s">
        <v>8557</v>
      </c>
    </row>
    <row r="8728" spans="1:3" x14ac:dyDescent="0.25">
      <c r="A8728" t="str">
        <f>"0611840092100"</f>
        <v>0611840092100</v>
      </c>
      <c r="B8728" t="str">
        <f>"LK6161"</f>
        <v>LK6161</v>
      </c>
      <c r="C8728" t="s">
        <v>8558</v>
      </c>
    </row>
    <row r="8729" spans="1:3" x14ac:dyDescent="0.25">
      <c r="A8729" t="str">
        <f>"0611840093100"</f>
        <v>0611840093100</v>
      </c>
      <c r="B8729" t="str">
        <f>"LK6482"</f>
        <v>LK6482</v>
      </c>
      <c r="C8729" t="s">
        <v>8559</v>
      </c>
    </row>
    <row r="8730" spans="1:3" x14ac:dyDescent="0.25">
      <c r="A8730" t="str">
        <f>"0611840096100"</f>
        <v>0611840096100</v>
      </c>
      <c r="B8730" t="str">
        <f>"LK6669"</f>
        <v>LK6669</v>
      </c>
      <c r="C8730" t="s">
        <v>8560</v>
      </c>
    </row>
    <row r="8731" spans="1:3" x14ac:dyDescent="0.25">
      <c r="A8731" t="str">
        <f>"0611840097100"</f>
        <v>0611840097100</v>
      </c>
      <c r="B8731" t="str">
        <f>"LK6483"</f>
        <v>LK6483</v>
      </c>
      <c r="C8731" t="s">
        <v>8561</v>
      </c>
    </row>
    <row r="8732" spans="1:3" x14ac:dyDescent="0.25">
      <c r="A8732" t="str">
        <f>"0611840100100"</f>
        <v>0611840100100</v>
      </c>
      <c r="B8732" t="str">
        <f>"LK6164"</f>
        <v>LK6164</v>
      </c>
      <c r="C8732" t="s">
        <v>8562</v>
      </c>
    </row>
    <row r="8733" spans="1:3" x14ac:dyDescent="0.25">
      <c r="A8733" t="str">
        <f>"0611840101100"</f>
        <v>0611840101100</v>
      </c>
      <c r="B8733" t="str">
        <f>"LK6485"</f>
        <v>LK6485</v>
      </c>
      <c r="C8733" t="s">
        <v>8563</v>
      </c>
    </row>
    <row r="8734" spans="1:3" x14ac:dyDescent="0.25">
      <c r="A8734" t="str">
        <f>"0611840103100"</f>
        <v>0611840103100</v>
      </c>
      <c r="B8734" t="str">
        <f>"LK6165"</f>
        <v>LK6165</v>
      </c>
      <c r="C8734" t="s">
        <v>8565</v>
      </c>
    </row>
    <row r="8735" spans="1:3" x14ac:dyDescent="0.25">
      <c r="A8735" t="str">
        <f>"0611840102100"</f>
        <v>0611840102100</v>
      </c>
      <c r="B8735" t="str">
        <f>"LK6887"</f>
        <v>LK6887</v>
      </c>
      <c r="C8735" t="s">
        <v>8564</v>
      </c>
    </row>
    <row r="8736" spans="1:3" x14ac:dyDescent="0.25">
      <c r="A8736" t="str">
        <f>"0611840107100"</f>
        <v>0611840107100</v>
      </c>
      <c r="B8736" t="str">
        <f>"LK6168"</f>
        <v>LK6168</v>
      </c>
      <c r="C8736" t="s">
        <v>8566</v>
      </c>
    </row>
    <row r="8737" spans="1:3" x14ac:dyDescent="0.25">
      <c r="A8737" t="str">
        <f>"0611840112100"</f>
        <v>0611840112100</v>
      </c>
      <c r="B8737" t="str">
        <f>"LK6173"</f>
        <v>LK6173</v>
      </c>
      <c r="C8737" t="s">
        <v>8567</v>
      </c>
    </row>
    <row r="8738" spans="1:3" x14ac:dyDescent="0.25">
      <c r="A8738" t="str">
        <f>"0611840115100"</f>
        <v>0611840115100</v>
      </c>
      <c r="B8738" t="str">
        <f>"LK5401"</f>
        <v>LK5401</v>
      </c>
      <c r="C8738" t="s">
        <v>8568</v>
      </c>
    </row>
    <row r="8739" spans="1:3" x14ac:dyDescent="0.25">
      <c r="A8739" t="str">
        <f>"0611840116100"</f>
        <v>0611840116100</v>
      </c>
      <c r="B8739" t="str">
        <f>"LB1906"</f>
        <v>LB1906</v>
      </c>
      <c r="C8739" t="s">
        <v>8569</v>
      </c>
    </row>
    <row r="8740" spans="1:3" x14ac:dyDescent="0.25">
      <c r="A8740" t="str">
        <f>"0611840123100"</f>
        <v>0611840123100</v>
      </c>
      <c r="B8740" t="str">
        <f>"LS0088"</f>
        <v>LS0088</v>
      </c>
      <c r="C8740" t="s">
        <v>8573</v>
      </c>
    </row>
    <row r="8741" spans="1:3" x14ac:dyDescent="0.25">
      <c r="A8741" t="str">
        <f>"0611840118100"</f>
        <v>0611840118100</v>
      </c>
      <c r="B8741" t="str">
        <f>"LS0089"</f>
        <v>LS0089</v>
      </c>
      <c r="C8741" t="s">
        <v>8571</v>
      </c>
    </row>
    <row r="8742" spans="1:3" x14ac:dyDescent="0.25">
      <c r="A8742" t="str">
        <f>"0611840124100"</f>
        <v>0611840124100</v>
      </c>
      <c r="B8742" t="str">
        <f>"LB9376"</f>
        <v>LB9376</v>
      </c>
      <c r="C8742" t="s">
        <v>8570</v>
      </c>
    </row>
    <row r="8743" spans="1:3" x14ac:dyDescent="0.25">
      <c r="A8743" t="str">
        <f>"0611840120100"</f>
        <v>0611840120100</v>
      </c>
      <c r="B8743" t="str">
        <f>"LS0090"</f>
        <v>LS0090</v>
      </c>
      <c r="C8743" t="s">
        <v>8572</v>
      </c>
    </row>
    <row r="8744" spans="1:3" x14ac:dyDescent="0.25">
      <c r="A8744" t="str">
        <f>"0611840126100"</f>
        <v>0611840126100</v>
      </c>
      <c r="B8744" t="str">
        <f>"LK2905"</f>
        <v>LK2905</v>
      </c>
      <c r="C8744" t="s">
        <v>8574</v>
      </c>
    </row>
    <row r="8745" spans="1:3" x14ac:dyDescent="0.25">
      <c r="A8745" t="str">
        <f>"0611840127100"</f>
        <v>0611840127100</v>
      </c>
      <c r="B8745" t="str">
        <f>"LK1520"</f>
        <v>LK1520</v>
      </c>
      <c r="C8745" t="s">
        <v>8575</v>
      </c>
    </row>
    <row r="8746" spans="1:3" x14ac:dyDescent="0.25">
      <c r="A8746" t="str">
        <f>"0611840128100"</f>
        <v>0611840128100</v>
      </c>
      <c r="B8746" t="str">
        <f>"LK6648"</f>
        <v>LK6648</v>
      </c>
      <c r="C8746" t="s">
        <v>8576</v>
      </c>
    </row>
    <row r="8747" spans="1:3" x14ac:dyDescent="0.25">
      <c r="A8747" t="str">
        <f>"0611857041100"</f>
        <v>0611857041100</v>
      </c>
      <c r="B8747" t="str">
        <f>"LK7090"</f>
        <v>LK7090</v>
      </c>
      <c r="C8747" t="s">
        <v>8577</v>
      </c>
    </row>
    <row r="8748" spans="1:3" x14ac:dyDescent="0.25">
      <c r="A8748" t="str">
        <f>"0611857042100"</f>
        <v>0611857042100</v>
      </c>
      <c r="B8748" t="str">
        <f>"LK7091"</f>
        <v>LK7091</v>
      </c>
      <c r="C8748" t="s">
        <v>8578</v>
      </c>
    </row>
    <row r="8749" spans="1:3" x14ac:dyDescent="0.25">
      <c r="A8749" t="str">
        <f>"0611906864100"</f>
        <v>0611906864100</v>
      </c>
      <c r="B8749" t="str">
        <f>"LK7265"</f>
        <v>LK7265</v>
      </c>
      <c r="C8749" t="s">
        <v>8579</v>
      </c>
    </row>
    <row r="8750" spans="1:3" x14ac:dyDescent="0.25">
      <c r="A8750" t="str">
        <f>"0611857043100"</f>
        <v>0611857043100</v>
      </c>
      <c r="B8750" t="str">
        <f>"LK7092"</f>
        <v>LK7092</v>
      </c>
      <c r="C8750" t="s">
        <v>8580</v>
      </c>
    </row>
    <row r="8751" spans="1:3" x14ac:dyDescent="0.25">
      <c r="A8751" t="str">
        <f>"0611857044100"</f>
        <v>0611857044100</v>
      </c>
      <c r="B8751" t="str">
        <f>"LK7093"</f>
        <v>LK7093</v>
      </c>
      <c r="C8751" t="s">
        <v>8581</v>
      </c>
    </row>
    <row r="8752" spans="1:3" x14ac:dyDescent="0.25">
      <c r="A8752" t="str">
        <f>"0611857045100"</f>
        <v>0611857045100</v>
      </c>
      <c r="B8752" t="str">
        <f>"LK7094"</f>
        <v>LK7094</v>
      </c>
      <c r="C8752" t="s">
        <v>8582</v>
      </c>
    </row>
    <row r="8753" spans="1:3" x14ac:dyDescent="0.25">
      <c r="A8753" t="str">
        <f>"0611864305100"</f>
        <v>0611864305100</v>
      </c>
      <c r="B8753" t="str">
        <f>"CN5427"</f>
        <v>CN5427</v>
      </c>
      <c r="C8753" t="s">
        <v>8583</v>
      </c>
    </row>
    <row r="8754" spans="1:3" x14ac:dyDescent="0.25">
      <c r="A8754" t="str">
        <f>"0611864306100"</f>
        <v>0611864306100</v>
      </c>
      <c r="B8754" t="str">
        <f>"CN5428"</f>
        <v>CN5428</v>
      </c>
      <c r="C8754" t="s">
        <v>8584</v>
      </c>
    </row>
    <row r="8755" spans="1:3" x14ac:dyDescent="0.25">
      <c r="A8755" t="str">
        <f>"0611864307100"</f>
        <v>0611864307100</v>
      </c>
      <c r="B8755" t="str">
        <f>"CN5429"</f>
        <v>CN5429</v>
      </c>
      <c r="C8755" t="s">
        <v>8585</v>
      </c>
    </row>
    <row r="8756" spans="1:3" x14ac:dyDescent="0.25">
      <c r="A8756" t="str">
        <f>"0611840129100"</f>
        <v>0611840129100</v>
      </c>
      <c r="B8756" t="str">
        <f>"LK5290"</f>
        <v>LK5290</v>
      </c>
      <c r="C8756" t="s">
        <v>8586</v>
      </c>
    </row>
    <row r="8757" spans="1:3" x14ac:dyDescent="0.25">
      <c r="A8757" t="str">
        <f>"0611840130100"</f>
        <v>0611840130100</v>
      </c>
      <c r="B8757" t="str">
        <f>"LK7042"</f>
        <v>LK7042</v>
      </c>
      <c r="C8757" t="s">
        <v>8587</v>
      </c>
    </row>
    <row r="8758" spans="1:3" x14ac:dyDescent="0.25">
      <c r="A8758" t="str">
        <f>"0611840131100"</f>
        <v>0611840131100</v>
      </c>
      <c r="B8758" t="str">
        <f>"LK5577"</f>
        <v>LK5577</v>
      </c>
      <c r="C8758" t="s">
        <v>8588</v>
      </c>
    </row>
    <row r="8759" spans="1:3" x14ac:dyDescent="0.25">
      <c r="A8759" t="str">
        <f>"0611840132100"</f>
        <v>0611840132100</v>
      </c>
      <c r="B8759" t="str">
        <f>"LK6486"</f>
        <v>LK6486</v>
      </c>
      <c r="C8759" t="s">
        <v>8589</v>
      </c>
    </row>
    <row r="8760" spans="1:3" x14ac:dyDescent="0.25">
      <c r="A8760" t="str">
        <f>"0611840133100"</f>
        <v>0611840133100</v>
      </c>
      <c r="B8760" t="str">
        <f>"LK5578"</f>
        <v>LK5578</v>
      </c>
      <c r="C8760" t="s">
        <v>8590</v>
      </c>
    </row>
    <row r="8761" spans="1:3" x14ac:dyDescent="0.25">
      <c r="A8761" t="str">
        <f>"0611840134100"</f>
        <v>0611840134100</v>
      </c>
      <c r="B8761" t="str">
        <f>"LK5584"</f>
        <v>LK5584</v>
      </c>
      <c r="C8761" t="s">
        <v>8591</v>
      </c>
    </row>
    <row r="8762" spans="1:3" x14ac:dyDescent="0.25">
      <c r="A8762" t="str">
        <f>"0611840135100"</f>
        <v>0611840135100</v>
      </c>
      <c r="B8762" t="str">
        <f>"LK5579"</f>
        <v>LK5579</v>
      </c>
      <c r="C8762" t="s">
        <v>8592</v>
      </c>
    </row>
    <row r="8763" spans="1:3" x14ac:dyDescent="0.25">
      <c r="A8763" t="str">
        <f>"0611840136100"</f>
        <v>0611840136100</v>
      </c>
      <c r="B8763" t="str">
        <f>"LK5580"</f>
        <v>LK5580</v>
      </c>
      <c r="C8763" t="s">
        <v>8593</v>
      </c>
    </row>
    <row r="8764" spans="1:3" x14ac:dyDescent="0.25">
      <c r="A8764" t="str">
        <f>"0611840137100"</f>
        <v>0611840137100</v>
      </c>
      <c r="B8764" t="str">
        <f>"LK5581"</f>
        <v>LK5581</v>
      </c>
      <c r="C8764" t="s">
        <v>8594</v>
      </c>
    </row>
    <row r="8765" spans="1:3" x14ac:dyDescent="0.25">
      <c r="A8765" t="str">
        <f>"0611840138100"</f>
        <v>0611840138100</v>
      </c>
      <c r="B8765" t="str">
        <f>"LK6487"</f>
        <v>LK6487</v>
      </c>
      <c r="C8765" t="s">
        <v>8595</v>
      </c>
    </row>
    <row r="8766" spans="1:3" x14ac:dyDescent="0.25">
      <c r="A8766" t="str">
        <f>"0611840139100"</f>
        <v>0611840139100</v>
      </c>
      <c r="B8766" t="str">
        <f>"LK5582"</f>
        <v>LK5582</v>
      </c>
      <c r="C8766" t="s">
        <v>8596</v>
      </c>
    </row>
    <row r="8767" spans="1:3" x14ac:dyDescent="0.25">
      <c r="A8767" t="str">
        <f>"0611840140100"</f>
        <v>0611840140100</v>
      </c>
      <c r="B8767" t="str">
        <f>"LK5583"</f>
        <v>LK5583</v>
      </c>
      <c r="C8767" t="s">
        <v>8597</v>
      </c>
    </row>
    <row r="8768" spans="1:3" x14ac:dyDescent="0.25">
      <c r="A8768" t="str">
        <f>"0611840141100"</f>
        <v>0611840141100</v>
      </c>
      <c r="B8768" t="str">
        <f>"LK5585"</f>
        <v>LK5585</v>
      </c>
      <c r="C8768" t="s">
        <v>8598</v>
      </c>
    </row>
    <row r="8769" spans="1:3" x14ac:dyDescent="0.25">
      <c r="A8769" t="str">
        <f>"0611840143100"</f>
        <v>0611840143100</v>
      </c>
      <c r="B8769" t="str">
        <f>"LK5586"</f>
        <v>LK5586</v>
      </c>
      <c r="C8769" t="s">
        <v>8600</v>
      </c>
    </row>
    <row r="8770" spans="1:3" x14ac:dyDescent="0.25">
      <c r="A8770" t="str">
        <f>"0611840142100"</f>
        <v>0611840142100</v>
      </c>
      <c r="B8770" t="str">
        <f>"LK6488"</f>
        <v>LK6488</v>
      </c>
      <c r="C8770" t="s">
        <v>8599</v>
      </c>
    </row>
    <row r="8771" spans="1:3" x14ac:dyDescent="0.25">
      <c r="A8771" t="str">
        <f>"0611857181100"</f>
        <v>0611857181100</v>
      </c>
      <c r="B8771" t="str">
        <f>"LK7115"</f>
        <v>LK7115</v>
      </c>
      <c r="C8771" t="s">
        <v>8601</v>
      </c>
    </row>
    <row r="8772" spans="1:3" x14ac:dyDescent="0.25">
      <c r="A8772" t="str">
        <f>"0611840144100"</f>
        <v>0611840144100</v>
      </c>
      <c r="B8772" t="str">
        <f>"LK5587"</f>
        <v>LK5587</v>
      </c>
      <c r="C8772" t="s">
        <v>8602</v>
      </c>
    </row>
    <row r="8773" spans="1:3" x14ac:dyDescent="0.25">
      <c r="A8773" t="str">
        <f>"0611840145100"</f>
        <v>0611840145100</v>
      </c>
      <c r="B8773" t="str">
        <f>"LB5917"</f>
        <v>LB5917</v>
      </c>
      <c r="C8773" t="s">
        <v>8603</v>
      </c>
    </row>
    <row r="8774" spans="1:3" x14ac:dyDescent="0.25">
      <c r="A8774" t="str">
        <f>"0611840146100"</f>
        <v>0611840146100</v>
      </c>
      <c r="B8774" t="str">
        <f>"LK4427"</f>
        <v>LK4427</v>
      </c>
      <c r="C8774" t="s">
        <v>8604</v>
      </c>
    </row>
    <row r="8775" spans="1:3" x14ac:dyDescent="0.25">
      <c r="A8775" t="str">
        <f>"0611840147100"</f>
        <v>0611840147100</v>
      </c>
      <c r="B8775" t="str">
        <f>"LB1908"</f>
        <v>LB1908</v>
      </c>
      <c r="C8775" t="s">
        <v>8605</v>
      </c>
    </row>
    <row r="8776" spans="1:3" x14ac:dyDescent="0.25">
      <c r="A8776" t="str">
        <f>"0611840148100"</f>
        <v>0611840148100</v>
      </c>
      <c r="B8776" t="str">
        <f>"LK0246"</f>
        <v>LK0246</v>
      </c>
      <c r="C8776" t="s">
        <v>8606</v>
      </c>
    </row>
    <row r="8777" spans="1:3" x14ac:dyDescent="0.25">
      <c r="A8777" t="str">
        <f>"0611840149100"</f>
        <v>0611840149100</v>
      </c>
      <c r="B8777" t="str">
        <f>"LK4857"</f>
        <v>LK4857</v>
      </c>
      <c r="C8777" t="s">
        <v>8607</v>
      </c>
    </row>
    <row r="8778" spans="1:3" x14ac:dyDescent="0.25">
      <c r="A8778" t="str">
        <f>"0611840150100"</f>
        <v>0611840150100</v>
      </c>
      <c r="B8778" t="str">
        <f>"LK4323"</f>
        <v>LK4323</v>
      </c>
      <c r="C8778" t="s">
        <v>8608</v>
      </c>
    </row>
    <row r="8779" spans="1:3" x14ac:dyDescent="0.25">
      <c r="A8779" t="str">
        <f>"0611840151100"</f>
        <v>0611840151100</v>
      </c>
      <c r="B8779" t="str">
        <f>"LK3400"</f>
        <v>LK3400</v>
      </c>
      <c r="C8779" t="s">
        <v>8609</v>
      </c>
    </row>
    <row r="8780" spans="1:3" x14ac:dyDescent="0.25">
      <c r="A8780" t="str">
        <f>"0611906865100"</f>
        <v>0611906865100</v>
      </c>
      <c r="B8780" t="str">
        <f>"LK7266"</f>
        <v>LK7266</v>
      </c>
      <c r="C8780" t="s">
        <v>8610</v>
      </c>
    </row>
    <row r="8781" spans="1:3" x14ac:dyDescent="0.25">
      <c r="A8781" t="str">
        <f>"0611840152100"</f>
        <v>0611840152100</v>
      </c>
      <c r="B8781" t="str">
        <f>"LB1909"</f>
        <v>LB1909</v>
      </c>
      <c r="C8781" t="s">
        <v>8611</v>
      </c>
    </row>
    <row r="8782" spans="1:3" x14ac:dyDescent="0.25">
      <c r="A8782" t="str">
        <f>"0611840153100"</f>
        <v>0611840153100</v>
      </c>
      <c r="B8782" t="str">
        <f>"LK2910"</f>
        <v>LK2910</v>
      </c>
      <c r="C8782" t="s">
        <v>8612</v>
      </c>
    </row>
    <row r="8783" spans="1:3" x14ac:dyDescent="0.25">
      <c r="A8783" t="str">
        <f>"0611840154100"</f>
        <v>0611840154100</v>
      </c>
      <c r="B8783" t="str">
        <f>"LK4858"</f>
        <v>LK4858</v>
      </c>
      <c r="C8783" t="s">
        <v>8613</v>
      </c>
    </row>
    <row r="8784" spans="1:3" x14ac:dyDescent="0.25">
      <c r="A8784" t="str">
        <f>"0611840156100"</f>
        <v>0611840156100</v>
      </c>
      <c r="B8784" t="str">
        <f>"LK1313"</f>
        <v>LK1313</v>
      </c>
      <c r="C8784" t="s">
        <v>8614</v>
      </c>
    </row>
    <row r="8785" spans="1:3" x14ac:dyDescent="0.25">
      <c r="A8785" t="str">
        <f>"0611840157100"</f>
        <v>0611840157100</v>
      </c>
      <c r="B8785" t="str">
        <f>"LB1910"</f>
        <v>LB1910</v>
      </c>
      <c r="C8785" t="s">
        <v>8615</v>
      </c>
    </row>
    <row r="8786" spans="1:3" x14ac:dyDescent="0.25">
      <c r="A8786" t="str">
        <f>"0611840158100"</f>
        <v>0611840158100</v>
      </c>
      <c r="B8786" t="str">
        <f>"LK4325"</f>
        <v>LK4325</v>
      </c>
      <c r="C8786" t="s">
        <v>8616</v>
      </c>
    </row>
    <row r="8787" spans="1:3" x14ac:dyDescent="0.25">
      <c r="A8787" t="str">
        <f>"0611840159100"</f>
        <v>0611840159100</v>
      </c>
      <c r="B8787" t="str">
        <f>"LB1911"</f>
        <v>LB1911</v>
      </c>
      <c r="C8787" t="s">
        <v>8617</v>
      </c>
    </row>
    <row r="8788" spans="1:3" x14ac:dyDescent="0.25">
      <c r="A8788" t="str">
        <f>"0611840160100"</f>
        <v>0611840160100</v>
      </c>
      <c r="B8788" t="str">
        <f>"LK3401"</f>
        <v>LK3401</v>
      </c>
      <c r="C8788" t="s">
        <v>8618</v>
      </c>
    </row>
    <row r="8789" spans="1:3" x14ac:dyDescent="0.25">
      <c r="A8789" t="str">
        <f>"0611840161100"</f>
        <v>0611840161100</v>
      </c>
      <c r="B8789" t="str">
        <f>"LK4326"</f>
        <v>LK4326</v>
      </c>
      <c r="C8789" t="s">
        <v>8619</v>
      </c>
    </row>
    <row r="8790" spans="1:3" x14ac:dyDescent="0.25">
      <c r="A8790" t="str">
        <f>"0611906866100"</f>
        <v>0611906866100</v>
      </c>
      <c r="B8790" t="str">
        <f>"LK7267"</f>
        <v>LK7267</v>
      </c>
      <c r="C8790" t="s">
        <v>8620</v>
      </c>
    </row>
    <row r="8791" spans="1:3" x14ac:dyDescent="0.25">
      <c r="A8791" t="str">
        <f>"0611840163100"</f>
        <v>0611840163100</v>
      </c>
      <c r="B8791" t="str">
        <f>"LK3402"</f>
        <v>LK3402</v>
      </c>
      <c r="C8791" t="s">
        <v>8621</v>
      </c>
    </row>
    <row r="8792" spans="1:3" x14ac:dyDescent="0.25">
      <c r="A8792" t="str">
        <f>"0611840164100"</f>
        <v>0611840164100</v>
      </c>
      <c r="B8792" t="str">
        <f>"LB1912"</f>
        <v>LB1912</v>
      </c>
      <c r="C8792" t="s">
        <v>8622</v>
      </c>
    </row>
    <row r="8793" spans="1:3" x14ac:dyDescent="0.25">
      <c r="A8793" t="str">
        <f>"0611840162100"</f>
        <v>0611840162100</v>
      </c>
      <c r="B8793" t="str">
        <f>"LK4327"</f>
        <v>LK4327</v>
      </c>
      <c r="C8793" t="s">
        <v>8623</v>
      </c>
    </row>
    <row r="8794" spans="1:3" x14ac:dyDescent="0.25">
      <c r="A8794" t="str">
        <f>"0611840165100"</f>
        <v>0611840165100</v>
      </c>
      <c r="B8794" t="str">
        <f>"LK3403"</f>
        <v>LK3403</v>
      </c>
      <c r="C8794" t="s">
        <v>8624</v>
      </c>
    </row>
    <row r="8795" spans="1:3" x14ac:dyDescent="0.25">
      <c r="A8795" t="str">
        <f>"0611840166100"</f>
        <v>0611840166100</v>
      </c>
      <c r="B8795" t="str">
        <f>"LB1913"</f>
        <v>LB1913</v>
      </c>
      <c r="C8795" t="s">
        <v>8625</v>
      </c>
    </row>
    <row r="8796" spans="1:3" x14ac:dyDescent="0.25">
      <c r="A8796" t="str">
        <f>"0611840167025"</f>
        <v>0611840167025</v>
      </c>
      <c r="B8796" t="str">
        <f>"MC2123"</f>
        <v>MC2123</v>
      </c>
      <c r="C8796" t="s">
        <v>8626</v>
      </c>
    </row>
    <row r="8797" spans="1:3" x14ac:dyDescent="0.25">
      <c r="A8797" t="str">
        <f>"0611864310050"</f>
        <v>0611864310050</v>
      </c>
      <c r="B8797" t="str">
        <f>"CR4519"</f>
        <v>CR4519</v>
      </c>
      <c r="C8797" t="s">
        <v>8627</v>
      </c>
    </row>
    <row r="8798" spans="1:3" x14ac:dyDescent="0.25">
      <c r="A8798" t="str">
        <f>"0611840169050"</f>
        <v>0611840169050</v>
      </c>
      <c r="B8798" t="str">
        <f>"NM0063"</f>
        <v>NM0063</v>
      </c>
      <c r="C8798" t="s">
        <v>8631</v>
      </c>
    </row>
    <row r="8799" spans="1:3" x14ac:dyDescent="0.25">
      <c r="A8799" t="str">
        <f>"0611857046050"</f>
        <v>0611857046050</v>
      </c>
      <c r="B8799" t="str">
        <f>"NM0084"</f>
        <v>NM0084</v>
      </c>
      <c r="C8799" t="s">
        <v>8628</v>
      </c>
    </row>
    <row r="8800" spans="1:3" x14ac:dyDescent="0.25">
      <c r="A8800" t="str">
        <f>"0611840171050"</f>
        <v>0611840171050</v>
      </c>
      <c r="B8800" t="str">
        <f>"NM0067"</f>
        <v>NM0067</v>
      </c>
      <c r="C8800" t="s">
        <v>8629</v>
      </c>
    </row>
    <row r="8801" spans="1:3" x14ac:dyDescent="0.25">
      <c r="A8801" t="str">
        <f>"0611840170050"</f>
        <v>0611840170050</v>
      </c>
      <c r="B8801" t="str">
        <f>"NM0065"</f>
        <v>NM0065</v>
      </c>
      <c r="C8801" t="s">
        <v>8630</v>
      </c>
    </row>
    <row r="8802" spans="1:3" x14ac:dyDescent="0.25">
      <c r="A8802" t="str">
        <f>"0611840172050"</f>
        <v>0611840172050</v>
      </c>
      <c r="B8802" t="str">
        <f>"NM0070"</f>
        <v>NM0070</v>
      </c>
      <c r="C8802" t="s">
        <v>8632</v>
      </c>
    </row>
    <row r="8803" spans="1:3" x14ac:dyDescent="0.25">
      <c r="A8803" t="str">
        <f>"0611840174050"</f>
        <v>0611840174050</v>
      </c>
      <c r="B8803" t="str">
        <f>"NM0002"</f>
        <v>NM0002</v>
      </c>
      <c r="C8803" t="s">
        <v>8633</v>
      </c>
    </row>
    <row r="8804" spans="1:3" x14ac:dyDescent="0.25">
      <c r="A8804" t="str">
        <f>"0611840175050"</f>
        <v>0611840175050</v>
      </c>
      <c r="B8804" t="str">
        <f>"NM0006"</f>
        <v>NM0006</v>
      </c>
      <c r="C8804" t="s">
        <v>8634</v>
      </c>
    </row>
    <row r="8805" spans="1:3" x14ac:dyDescent="0.25">
      <c r="A8805" t="str">
        <f>"0611840176050"</f>
        <v>0611840176050</v>
      </c>
      <c r="B8805" t="str">
        <f>"NM0078"</f>
        <v>NM0078</v>
      </c>
      <c r="C8805" t="s">
        <v>8635</v>
      </c>
    </row>
    <row r="8806" spans="1:3" x14ac:dyDescent="0.25">
      <c r="A8806" t="str">
        <f>"0611840177050"</f>
        <v>0611840177050</v>
      </c>
      <c r="B8806" t="str">
        <f>"NM0068"</f>
        <v>NM0068</v>
      </c>
      <c r="C8806" t="s">
        <v>8636</v>
      </c>
    </row>
    <row r="8807" spans="1:3" x14ac:dyDescent="0.25">
      <c r="A8807" t="str">
        <f>"0611840178050"</f>
        <v>0611840178050</v>
      </c>
      <c r="B8807" t="str">
        <f>"NM0001"</f>
        <v>NM0001</v>
      </c>
      <c r="C8807" t="s">
        <v>8637</v>
      </c>
    </row>
    <row r="8808" spans="1:3" x14ac:dyDescent="0.25">
      <c r="A8808" t="str">
        <f>"0611840179050"</f>
        <v>0611840179050</v>
      </c>
      <c r="B8808" t="str">
        <f>"NM0069"</f>
        <v>NM0069</v>
      </c>
      <c r="C8808" t="s">
        <v>8638</v>
      </c>
    </row>
    <row r="8809" spans="1:3" x14ac:dyDescent="0.25">
      <c r="A8809" t="str">
        <f>"0611840180050"</f>
        <v>0611840180050</v>
      </c>
      <c r="B8809" t="str">
        <f>"NM0007"</f>
        <v>NM0007</v>
      </c>
      <c r="C8809" t="s">
        <v>8639</v>
      </c>
    </row>
    <row r="8810" spans="1:3" x14ac:dyDescent="0.25">
      <c r="A8810" t="str">
        <f>"0611840181050"</f>
        <v>0611840181050</v>
      </c>
      <c r="B8810" t="str">
        <f>"NM0064"</f>
        <v>NM0064</v>
      </c>
      <c r="C8810" t="s">
        <v>8640</v>
      </c>
    </row>
    <row r="8811" spans="1:3" x14ac:dyDescent="0.25">
      <c r="A8811" t="str">
        <f>"0611840183050"</f>
        <v>0611840183050</v>
      </c>
      <c r="B8811" t="str">
        <f>"NM0071"</f>
        <v>NM0071</v>
      </c>
      <c r="C8811" t="s">
        <v>8641</v>
      </c>
    </row>
    <row r="8812" spans="1:3" x14ac:dyDescent="0.25">
      <c r="A8812" t="str">
        <f>"0611840182050"</f>
        <v>0611840182050</v>
      </c>
      <c r="B8812" t="str">
        <f>"NM0080"</f>
        <v>NM0080</v>
      </c>
      <c r="C8812" t="s">
        <v>8642</v>
      </c>
    </row>
    <row r="8813" spans="1:3" x14ac:dyDescent="0.25">
      <c r="A8813" t="str">
        <f>"0611840184100"</f>
        <v>0611840184100</v>
      </c>
      <c r="B8813" t="str">
        <f>"MB6170"</f>
        <v>MB6170</v>
      </c>
      <c r="C8813" t="s">
        <v>8643</v>
      </c>
    </row>
    <row r="8814" spans="1:3" x14ac:dyDescent="0.25">
      <c r="A8814" t="str">
        <f>"0611840187050"</f>
        <v>0611840187050</v>
      </c>
      <c r="B8814" t="str">
        <f>"NM0081"</f>
        <v>NM0081</v>
      </c>
      <c r="C8814" t="s">
        <v>8645</v>
      </c>
    </row>
    <row r="8815" spans="1:3" x14ac:dyDescent="0.25">
      <c r="A8815" t="str">
        <f>"0611840186050"</f>
        <v>0611840186050</v>
      </c>
      <c r="B8815" t="str">
        <f>"NM0066"</f>
        <v>NM0066</v>
      </c>
      <c r="C8815" t="s">
        <v>8644</v>
      </c>
    </row>
    <row r="8816" spans="1:3" x14ac:dyDescent="0.25">
      <c r="A8816" t="str">
        <f>"0611840188050"</f>
        <v>0611840188050</v>
      </c>
      <c r="B8816" t="str">
        <f>"NM0003"</f>
        <v>NM0003</v>
      </c>
      <c r="C8816" t="s">
        <v>8646</v>
      </c>
    </row>
    <row r="8817" spans="1:3" x14ac:dyDescent="0.25">
      <c r="A8817" t="str">
        <f>"0611840189050"</f>
        <v>0611840189050</v>
      </c>
      <c r="B8817" t="str">
        <f>"NM0004"</f>
        <v>NM0004</v>
      </c>
      <c r="C8817" t="s">
        <v>8647</v>
      </c>
    </row>
    <row r="8818" spans="1:3" x14ac:dyDescent="0.25">
      <c r="A8818" t="str">
        <f>"0611840190050"</f>
        <v>0611840190050</v>
      </c>
      <c r="B8818" t="str">
        <f>"NM0005"</f>
        <v>NM0005</v>
      </c>
      <c r="C8818" t="s">
        <v>8648</v>
      </c>
    </row>
    <row r="8819" spans="1:3" x14ac:dyDescent="0.25">
      <c r="A8819" t="str">
        <f>"0611840191100"</f>
        <v>0611840191100</v>
      </c>
      <c r="B8819" t="str">
        <f>"LB5910"</f>
        <v>LB5910</v>
      </c>
      <c r="C8819" t="s">
        <v>8649</v>
      </c>
    </row>
    <row r="8820" spans="1:3" x14ac:dyDescent="0.25">
      <c r="A8820" t="str">
        <f>"0611840192100"</f>
        <v>0611840192100</v>
      </c>
      <c r="B8820" t="str">
        <f>"LB5912"</f>
        <v>LB5912</v>
      </c>
      <c r="C8820" t="s">
        <v>8650</v>
      </c>
    </row>
    <row r="8821" spans="1:3" x14ac:dyDescent="0.25">
      <c r="A8821" t="str">
        <f>"0611840193100"</f>
        <v>0611840193100</v>
      </c>
      <c r="B8821" t="str">
        <f>"LB5950"</f>
        <v>LB5950</v>
      </c>
      <c r="C8821" t="s">
        <v>8651</v>
      </c>
    </row>
    <row r="8822" spans="1:3" x14ac:dyDescent="0.25">
      <c r="A8822" t="str">
        <f>"0611840194100"</f>
        <v>0611840194100</v>
      </c>
      <c r="B8822" t="str">
        <f>"LB5913"</f>
        <v>LB5913</v>
      </c>
      <c r="C8822" t="s">
        <v>8652</v>
      </c>
    </row>
    <row r="8823" spans="1:3" x14ac:dyDescent="0.25">
      <c r="A8823" t="str">
        <f>"0611840195100"</f>
        <v>0611840195100</v>
      </c>
      <c r="B8823" t="str">
        <f>"LB6024"</f>
        <v>LB6024</v>
      </c>
      <c r="C8823" t="s">
        <v>8653</v>
      </c>
    </row>
    <row r="8824" spans="1:3" x14ac:dyDescent="0.25">
      <c r="A8824" t="str">
        <f>"0611840196100"</f>
        <v>0611840196100</v>
      </c>
      <c r="B8824" t="str">
        <f>"LB6192"</f>
        <v>LB6192</v>
      </c>
      <c r="C8824" t="s">
        <v>8654</v>
      </c>
    </row>
    <row r="8825" spans="1:3" x14ac:dyDescent="0.25">
      <c r="A8825" t="str">
        <f>"0611840197100"</f>
        <v>0611840197100</v>
      </c>
      <c r="B8825" t="str">
        <f>"LB6061"</f>
        <v>LB6061</v>
      </c>
      <c r="C8825" t="s">
        <v>8655</v>
      </c>
    </row>
    <row r="8826" spans="1:3" x14ac:dyDescent="0.25">
      <c r="A8826" t="str">
        <f>"0611840198100"</f>
        <v>0611840198100</v>
      </c>
      <c r="B8826" t="str">
        <f>"LB6062"</f>
        <v>LB6062</v>
      </c>
      <c r="C8826" t="s">
        <v>8656</v>
      </c>
    </row>
    <row r="8827" spans="1:3" x14ac:dyDescent="0.25">
      <c r="A8827" t="str">
        <f>"0611840199100"</f>
        <v>0611840199100</v>
      </c>
      <c r="B8827" t="str">
        <f>"LB6143"</f>
        <v>LB6143</v>
      </c>
      <c r="C8827" t="s">
        <v>8657</v>
      </c>
    </row>
    <row r="8828" spans="1:3" x14ac:dyDescent="0.25">
      <c r="A8828" t="str">
        <f>"0611840200100"</f>
        <v>0611840200100</v>
      </c>
      <c r="B8828" t="str">
        <f>"LB5914"</f>
        <v>LB5914</v>
      </c>
      <c r="C8828" t="s">
        <v>8658</v>
      </c>
    </row>
    <row r="8829" spans="1:3" x14ac:dyDescent="0.25">
      <c r="A8829" t="str">
        <f>"0611840213100"</f>
        <v>0611840213100</v>
      </c>
      <c r="B8829" t="str">
        <f>"LK2911"</f>
        <v>LK2911</v>
      </c>
      <c r="C8829" t="s">
        <v>8659</v>
      </c>
    </row>
    <row r="8830" spans="1:3" x14ac:dyDescent="0.25">
      <c r="A8830" t="str">
        <f>"0611840214100"</f>
        <v>0611840214100</v>
      </c>
      <c r="B8830" t="str">
        <f>"LK2212"</f>
        <v>LK2212</v>
      </c>
      <c r="C8830" t="s">
        <v>8660</v>
      </c>
    </row>
    <row r="8831" spans="1:3" x14ac:dyDescent="0.25">
      <c r="A8831" t="str">
        <f>"0611840201100"</f>
        <v>0611840201100</v>
      </c>
      <c r="B8831" t="str">
        <f>"LK2916"</f>
        <v>LK2916</v>
      </c>
      <c r="C8831" t="s">
        <v>8661</v>
      </c>
    </row>
    <row r="8832" spans="1:3" x14ac:dyDescent="0.25">
      <c r="A8832" t="str">
        <f>"0611840202100"</f>
        <v>0611840202100</v>
      </c>
      <c r="B8832" t="str">
        <f>"LK0247"</f>
        <v>LK0247</v>
      </c>
      <c r="C8832" t="s">
        <v>8662</v>
      </c>
    </row>
    <row r="8833" spans="1:3" x14ac:dyDescent="0.25">
      <c r="A8833" t="str">
        <f>"0611840232100"</f>
        <v>0611840232100</v>
      </c>
      <c r="B8833" t="str">
        <f>"LK6402"</f>
        <v>LK6402</v>
      </c>
      <c r="C8833" t="s">
        <v>8663</v>
      </c>
    </row>
    <row r="8834" spans="1:3" x14ac:dyDescent="0.25">
      <c r="A8834" t="str">
        <f>"0611840216100"</f>
        <v>0611840216100</v>
      </c>
      <c r="B8834" t="str">
        <f>"LK2912"</f>
        <v>LK2912</v>
      </c>
      <c r="C8834" t="s">
        <v>8664</v>
      </c>
    </row>
    <row r="8835" spans="1:3" x14ac:dyDescent="0.25">
      <c r="A8835" t="str">
        <f>"0611840204100"</f>
        <v>0611840204100</v>
      </c>
      <c r="B8835" t="str">
        <f>"LK2914"</f>
        <v>LK2914</v>
      </c>
      <c r="C8835" t="s">
        <v>8665</v>
      </c>
    </row>
    <row r="8836" spans="1:3" x14ac:dyDescent="0.25">
      <c r="A8836" t="str">
        <f>"0611840234100"</f>
        <v>0611840234100</v>
      </c>
      <c r="B8836" t="str">
        <f>"LK0819"</f>
        <v>LK0819</v>
      </c>
      <c r="C8836" t="s">
        <v>8666</v>
      </c>
    </row>
    <row r="8837" spans="1:3" x14ac:dyDescent="0.25">
      <c r="A8837" t="str">
        <f>"0611840205100"</f>
        <v>0611840205100</v>
      </c>
      <c r="B8837" t="str">
        <f>"LB1918"</f>
        <v>LB1918</v>
      </c>
      <c r="C8837" t="s">
        <v>8667</v>
      </c>
    </row>
    <row r="8838" spans="1:3" x14ac:dyDescent="0.25">
      <c r="A8838" t="str">
        <f>"0611840235100"</f>
        <v>0611840235100</v>
      </c>
      <c r="B8838" t="str">
        <f>"LK4328"</f>
        <v>LK4328</v>
      </c>
      <c r="C8838" t="s">
        <v>8668</v>
      </c>
    </row>
    <row r="8839" spans="1:3" x14ac:dyDescent="0.25">
      <c r="A8839" t="str">
        <f>"0611840210100"</f>
        <v>0611840210100</v>
      </c>
      <c r="B8839" t="str">
        <f>"LK0249"</f>
        <v>LK0249</v>
      </c>
      <c r="C8839" t="s">
        <v>8669</v>
      </c>
    </row>
    <row r="8840" spans="1:3" x14ac:dyDescent="0.25">
      <c r="A8840" t="str">
        <f>"0611840212100"</f>
        <v>0611840212100</v>
      </c>
      <c r="B8840" t="str">
        <f>"LB7845"</f>
        <v>LB7845</v>
      </c>
      <c r="C8840" t="s">
        <v>8670</v>
      </c>
    </row>
    <row r="8841" spans="1:3" x14ac:dyDescent="0.25">
      <c r="A8841" t="str">
        <f>"0611840251100"</f>
        <v>0611840251100</v>
      </c>
      <c r="B8841" t="str">
        <f>"LB7816"</f>
        <v>LB7816</v>
      </c>
      <c r="C8841" t="s">
        <v>8671</v>
      </c>
    </row>
    <row r="8842" spans="1:3" x14ac:dyDescent="0.25">
      <c r="A8842" t="str">
        <f>"0611840252100"</f>
        <v>0611840252100</v>
      </c>
      <c r="B8842" t="str">
        <f>"LB7846"</f>
        <v>LB7846</v>
      </c>
      <c r="C8842" t="s">
        <v>8672</v>
      </c>
    </row>
    <row r="8843" spans="1:3" x14ac:dyDescent="0.25">
      <c r="A8843" t="str">
        <f>"0611840243100"</f>
        <v>0611840243100</v>
      </c>
      <c r="B8843" t="str">
        <f>"LK4488"</f>
        <v>LK4488</v>
      </c>
      <c r="C8843" t="s">
        <v>8673</v>
      </c>
    </row>
    <row r="8844" spans="1:3" x14ac:dyDescent="0.25">
      <c r="A8844" t="str">
        <f>"0611840269100"</f>
        <v>0611840269100</v>
      </c>
      <c r="B8844" t="str">
        <f>"LK2216"</f>
        <v>LK2216</v>
      </c>
      <c r="C8844" t="s">
        <v>8674</v>
      </c>
    </row>
    <row r="8845" spans="1:3" x14ac:dyDescent="0.25">
      <c r="A8845" t="str">
        <f>"0611840270100"</f>
        <v>0611840270100</v>
      </c>
      <c r="B8845" t="str">
        <f>"LK2921"</f>
        <v>LK2921</v>
      </c>
      <c r="C8845" t="s">
        <v>8675</v>
      </c>
    </row>
    <row r="8846" spans="1:3" x14ac:dyDescent="0.25">
      <c r="A8846" t="str">
        <f>"0611840230100"</f>
        <v>0611840230100</v>
      </c>
      <c r="B8846" t="str">
        <f>"LK1321"</f>
        <v>LK1321</v>
      </c>
      <c r="C8846" t="s">
        <v>8676</v>
      </c>
    </row>
    <row r="8847" spans="1:3" x14ac:dyDescent="0.25">
      <c r="A8847" t="str">
        <f>"0611840206100"</f>
        <v>0611840206100</v>
      </c>
      <c r="B8847" t="str">
        <f>"LK2915"</f>
        <v>LK2915</v>
      </c>
      <c r="C8847" t="s">
        <v>8677</v>
      </c>
    </row>
    <row r="8848" spans="1:3" x14ac:dyDescent="0.25">
      <c r="A8848" t="str">
        <f>"0611840208100"</f>
        <v>0611840208100</v>
      </c>
      <c r="B8848" t="str">
        <f>"LB5839"</f>
        <v>LB5839</v>
      </c>
      <c r="C8848" t="s">
        <v>13918</v>
      </c>
    </row>
    <row r="8849" spans="1:3" x14ac:dyDescent="0.25">
      <c r="A8849" t="str">
        <f>"0611840209100"</f>
        <v>0611840209100</v>
      </c>
      <c r="B8849" t="str">
        <f>"LB7813"</f>
        <v>LB7813</v>
      </c>
      <c r="C8849" t="s">
        <v>8678</v>
      </c>
    </row>
    <row r="8850" spans="1:3" x14ac:dyDescent="0.25">
      <c r="A8850" t="str">
        <f>"0611840211100"</f>
        <v>0611840211100</v>
      </c>
      <c r="B8850" t="str">
        <f>"LB1919"</f>
        <v>LB1919</v>
      </c>
      <c r="C8850" t="s">
        <v>8679</v>
      </c>
    </row>
    <row r="8851" spans="1:3" x14ac:dyDescent="0.25">
      <c r="A8851" t="str">
        <f>"0611840233100"</f>
        <v>0611840233100</v>
      </c>
      <c r="B8851" t="str">
        <f>"LK5032"</f>
        <v>LK5032</v>
      </c>
      <c r="C8851" t="s">
        <v>8680</v>
      </c>
    </row>
    <row r="8852" spans="1:3" x14ac:dyDescent="0.25">
      <c r="A8852" t="str">
        <f>"0611840218100"</f>
        <v>0611840218100</v>
      </c>
      <c r="B8852" t="str">
        <f>"LK4486"</f>
        <v>LK4486</v>
      </c>
      <c r="C8852" t="s">
        <v>8681</v>
      </c>
    </row>
    <row r="8853" spans="1:3" x14ac:dyDescent="0.25">
      <c r="A8853" t="str">
        <f>"0611840207100"</f>
        <v>0611840207100</v>
      </c>
      <c r="B8853" t="str">
        <f>"LB5947"</f>
        <v>LB5947</v>
      </c>
      <c r="C8853" t="s">
        <v>8682</v>
      </c>
    </row>
    <row r="8854" spans="1:3" x14ac:dyDescent="0.25">
      <c r="A8854" t="str">
        <f>"0611840221100"</f>
        <v>0611840221100</v>
      </c>
      <c r="B8854" t="str">
        <f>"LK2918"</f>
        <v>LK2918</v>
      </c>
      <c r="C8854" t="s">
        <v>8683</v>
      </c>
    </row>
    <row r="8855" spans="1:3" x14ac:dyDescent="0.25">
      <c r="A8855" t="str">
        <f>"0611840223100"</f>
        <v>0611840223100</v>
      </c>
      <c r="B8855" t="str">
        <f>"LB5840"</f>
        <v>LB5840</v>
      </c>
      <c r="C8855" t="s">
        <v>8685</v>
      </c>
    </row>
    <row r="8856" spans="1:3" x14ac:dyDescent="0.25">
      <c r="A8856" t="str">
        <f>"0611840224100"</f>
        <v>0611840224100</v>
      </c>
      <c r="B8856" t="str">
        <f>"LK0820"</f>
        <v>LK0820</v>
      </c>
      <c r="C8856" t="s">
        <v>8686</v>
      </c>
    </row>
    <row r="8857" spans="1:3" x14ac:dyDescent="0.25">
      <c r="A8857" t="str">
        <f>"0611840222100"</f>
        <v>0611840222100</v>
      </c>
      <c r="B8857" t="str">
        <f>"LK1641"</f>
        <v>LK1641</v>
      </c>
      <c r="C8857" t="s">
        <v>8684</v>
      </c>
    </row>
    <row r="8858" spans="1:3" x14ac:dyDescent="0.25">
      <c r="A8858" t="str">
        <f>"0611840226100"</f>
        <v>0611840226100</v>
      </c>
      <c r="B8858" t="str">
        <f>"LK1320"</f>
        <v>LK1320</v>
      </c>
      <c r="C8858" t="s">
        <v>8687</v>
      </c>
    </row>
    <row r="8859" spans="1:3" x14ac:dyDescent="0.25">
      <c r="A8859" t="str">
        <f>"0611840215100"</f>
        <v>0611840215100</v>
      </c>
      <c r="B8859" t="str">
        <f>"LK2917"</f>
        <v>LK2917</v>
      </c>
      <c r="C8859" t="s">
        <v>8689</v>
      </c>
    </row>
    <row r="8860" spans="1:3" x14ac:dyDescent="0.25">
      <c r="A8860" t="str">
        <f>"0611840203100"</f>
        <v>0611840203100</v>
      </c>
      <c r="B8860" t="str">
        <f>"LK1319"</f>
        <v>LK1319</v>
      </c>
      <c r="C8860" t="s">
        <v>8690</v>
      </c>
    </row>
    <row r="8861" spans="1:3" x14ac:dyDescent="0.25">
      <c r="A8861" t="str">
        <f>"0611840247100"</f>
        <v>0611840247100</v>
      </c>
      <c r="B8861" t="str">
        <f>"LB7814"</f>
        <v>LB7814</v>
      </c>
      <c r="C8861" t="s">
        <v>8691</v>
      </c>
    </row>
    <row r="8862" spans="1:3" x14ac:dyDescent="0.25">
      <c r="A8862" t="str">
        <f>"0611840225100"</f>
        <v>0611840225100</v>
      </c>
      <c r="B8862" t="str">
        <f>"LK3404"</f>
        <v>LK3404</v>
      </c>
      <c r="C8862" t="s">
        <v>8692</v>
      </c>
    </row>
    <row r="8863" spans="1:3" x14ac:dyDescent="0.25">
      <c r="A8863" t="str">
        <f>"0611840238100"</f>
        <v>0611840238100</v>
      </c>
      <c r="B8863" t="str">
        <f>"LK5033"</f>
        <v>LK5033</v>
      </c>
      <c r="C8863" t="s">
        <v>8693</v>
      </c>
    </row>
    <row r="8864" spans="1:3" x14ac:dyDescent="0.25">
      <c r="A8864" t="str">
        <f>"0611840244100"</f>
        <v>0611840244100</v>
      </c>
      <c r="B8864" t="str">
        <f>"LK3405"</f>
        <v>LK3405</v>
      </c>
      <c r="C8864" t="s">
        <v>8694</v>
      </c>
    </row>
    <row r="8865" spans="1:3" x14ac:dyDescent="0.25">
      <c r="A8865" t="str">
        <f>"0611840227100"</f>
        <v>0611840227100</v>
      </c>
      <c r="B8865" t="str">
        <f>"LK0822"</f>
        <v>LK0822</v>
      </c>
      <c r="C8865" t="s">
        <v>8695</v>
      </c>
    </row>
    <row r="8866" spans="1:3" x14ac:dyDescent="0.25">
      <c r="A8866" t="str">
        <f>"0611840239100"</f>
        <v>0611840239100</v>
      </c>
      <c r="B8866" t="str">
        <f>"LK0823"</f>
        <v>LK0823</v>
      </c>
      <c r="C8866" t="s">
        <v>8696</v>
      </c>
    </row>
    <row r="8867" spans="1:3" x14ac:dyDescent="0.25">
      <c r="A8867" t="str">
        <f>"0611840240100"</f>
        <v>0611840240100</v>
      </c>
      <c r="B8867" t="str">
        <f>"LK0824"</f>
        <v>LK0824</v>
      </c>
      <c r="C8867" t="s">
        <v>8697</v>
      </c>
    </row>
    <row r="8868" spans="1:3" x14ac:dyDescent="0.25">
      <c r="A8868" t="str">
        <f>"0611840217100"</f>
        <v>0611840217100</v>
      </c>
      <c r="B8868" t="str">
        <f>"LK0248"</f>
        <v>LK0248</v>
      </c>
      <c r="C8868" t="s">
        <v>8698</v>
      </c>
    </row>
    <row r="8869" spans="1:3" x14ac:dyDescent="0.25">
      <c r="A8869" t="str">
        <f>"0611884511100"</f>
        <v>0611884511100</v>
      </c>
      <c r="B8869" t="str">
        <f>"LK7169"</f>
        <v>LK7169</v>
      </c>
      <c r="C8869" t="s">
        <v>8699</v>
      </c>
    </row>
    <row r="8870" spans="1:3" x14ac:dyDescent="0.25">
      <c r="A8870" t="str">
        <f>"0611840219100"</f>
        <v>0611840219100</v>
      </c>
      <c r="B8870" t="str">
        <f>"LK6650"</f>
        <v>LK6650</v>
      </c>
      <c r="C8870" t="s">
        <v>8700</v>
      </c>
    </row>
    <row r="8871" spans="1:3" x14ac:dyDescent="0.25">
      <c r="A8871" t="str">
        <f>"0611840236100"</f>
        <v>0611840236100</v>
      </c>
      <c r="B8871" t="str">
        <f>"LK5823"</f>
        <v>LK5823</v>
      </c>
      <c r="C8871" t="s">
        <v>8688</v>
      </c>
    </row>
    <row r="8872" spans="1:3" x14ac:dyDescent="0.25">
      <c r="A8872" t="str">
        <f>"0611840220100"</f>
        <v>0611840220100</v>
      </c>
      <c r="B8872" t="str">
        <f>"LK2213"</f>
        <v>LK2213</v>
      </c>
      <c r="C8872" t="s">
        <v>8701</v>
      </c>
    </row>
    <row r="8873" spans="1:3" x14ac:dyDescent="0.25">
      <c r="A8873" t="str">
        <f>"0611840237100"</f>
        <v>0611840237100</v>
      </c>
      <c r="B8873" t="str">
        <f>"LK0821"</f>
        <v>LK0821</v>
      </c>
      <c r="C8873" t="s">
        <v>8702</v>
      </c>
    </row>
    <row r="8874" spans="1:3" x14ac:dyDescent="0.25">
      <c r="A8874" t="str">
        <f>"0611840241100"</f>
        <v>0611840241100</v>
      </c>
      <c r="B8874" t="str">
        <f>"LK0825"</f>
        <v>LK0825</v>
      </c>
      <c r="C8874" t="s">
        <v>8703</v>
      </c>
    </row>
    <row r="8875" spans="1:3" x14ac:dyDescent="0.25">
      <c r="A8875" t="str">
        <f>"0611840242100"</f>
        <v>0611840242100</v>
      </c>
      <c r="B8875" t="str">
        <f>"LK2214"</f>
        <v>LK2214</v>
      </c>
      <c r="C8875" t="s">
        <v>8704</v>
      </c>
    </row>
    <row r="8876" spans="1:3" x14ac:dyDescent="0.25">
      <c r="A8876" t="str">
        <f>"0611840228100"</f>
        <v>0611840228100</v>
      </c>
      <c r="B8876" t="str">
        <f>"LK0250"</f>
        <v>LK0250</v>
      </c>
      <c r="C8876" t="s">
        <v>8705</v>
      </c>
    </row>
    <row r="8877" spans="1:3" x14ac:dyDescent="0.25">
      <c r="A8877" t="str">
        <f>"0611840229100"</f>
        <v>0611840229100</v>
      </c>
      <c r="B8877" t="str">
        <f>"LK4329"</f>
        <v>LK4329</v>
      </c>
      <c r="C8877" t="s">
        <v>8706</v>
      </c>
    </row>
    <row r="8878" spans="1:3" x14ac:dyDescent="0.25">
      <c r="A8878" t="str">
        <f>"0611840245100"</f>
        <v>0611840245100</v>
      </c>
      <c r="B8878" t="str">
        <f>"LK2215"</f>
        <v>LK2215</v>
      </c>
      <c r="C8878" t="s">
        <v>8707</v>
      </c>
    </row>
    <row r="8879" spans="1:3" x14ac:dyDescent="0.25">
      <c r="A8879" t="str">
        <f>"0611840231100"</f>
        <v>0611840231100</v>
      </c>
      <c r="B8879" t="str">
        <f>"LK0826"</f>
        <v>LK0826</v>
      </c>
      <c r="C8879" t="s">
        <v>8708</v>
      </c>
    </row>
    <row r="8880" spans="1:3" x14ac:dyDescent="0.25">
      <c r="A8880" t="str">
        <f>"0611840271100"</f>
        <v>0611840271100</v>
      </c>
      <c r="B8880" t="str">
        <f>"LB7825"</f>
        <v>LB7825</v>
      </c>
      <c r="C8880" t="s">
        <v>8709</v>
      </c>
    </row>
    <row r="8881" spans="1:3" x14ac:dyDescent="0.25">
      <c r="A8881" t="str">
        <f>"0611840246100"</f>
        <v>0611840246100</v>
      </c>
      <c r="B8881" t="str">
        <f>"LK2919"</f>
        <v>LK2919</v>
      </c>
      <c r="C8881" t="s">
        <v>8710</v>
      </c>
    </row>
    <row r="8882" spans="1:3" x14ac:dyDescent="0.25">
      <c r="A8882" t="str">
        <f>"0611840249100"</f>
        <v>0611840249100</v>
      </c>
      <c r="B8882" t="str">
        <f>"LB5831"</f>
        <v>LB5831</v>
      </c>
      <c r="C8882" t="s">
        <v>8711</v>
      </c>
    </row>
    <row r="8883" spans="1:3" x14ac:dyDescent="0.25">
      <c r="A8883" t="str">
        <f>"0611840250100"</f>
        <v>0611840250100</v>
      </c>
      <c r="B8883" t="str">
        <f>"LB7815"</f>
        <v>LB7815</v>
      </c>
      <c r="C8883" t="s">
        <v>8712</v>
      </c>
    </row>
    <row r="8884" spans="1:3" x14ac:dyDescent="0.25">
      <c r="A8884" t="str">
        <f>"0611840254100"</f>
        <v>0611840254100</v>
      </c>
      <c r="B8884" t="str">
        <f>"LK3406"</f>
        <v>LK3406</v>
      </c>
      <c r="C8884" t="s">
        <v>8713</v>
      </c>
    </row>
    <row r="8885" spans="1:3" x14ac:dyDescent="0.25">
      <c r="A8885" t="str">
        <f>"0611840255100"</f>
        <v>0611840255100</v>
      </c>
      <c r="B8885" t="str">
        <f>"LK6403"</f>
        <v>LK6403</v>
      </c>
      <c r="C8885" t="s">
        <v>8714</v>
      </c>
    </row>
    <row r="8886" spans="1:3" x14ac:dyDescent="0.25">
      <c r="A8886" t="str">
        <f>"0611840256100"</f>
        <v>0611840256100</v>
      </c>
      <c r="B8886" t="str">
        <f>"LK6404"</f>
        <v>LK6404</v>
      </c>
      <c r="C8886" t="s">
        <v>8715</v>
      </c>
    </row>
    <row r="8887" spans="1:3" x14ac:dyDescent="0.25">
      <c r="A8887" t="str">
        <f>"0611840257100"</f>
        <v>0611840257100</v>
      </c>
      <c r="B8887" t="str">
        <f>"LK6405"</f>
        <v>LK6405</v>
      </c>
      <c r="C8887" t="s">
        <v>8716</v>
      </c>
    </row>
    <row r="8888" spans="1:3" x14ac:dyDescent="0.25">
      <c r="A8888" t="str">
        <f>"0611840258100"</f>
        <v>0611840258100</v>
      </c>
      <c r="B8888" t="str">
        <f>"LK6406"</f>
        <v>LK6406</v>
      </c>
      <c r="C8888" t="s">
        <v>8717</v>
      </c>
    </row>
    <row r="8889" spans="1:3" x14ac:dyDescent="0.25">
      <c r="A8889" t="str">
        <f>"0611840259100"</f>
        <v>0611840259100</v>
      </c>
      <c r="B8889" t="str">
        <f>"LK6407"</f>
        <v>LK6407</v>
      </c>
      <c r="C8889" t="s">
        <v>8718</v>
      </c>
    </row>
    <row r="8890" spans="1:3" x14ac:dyDescent="0.25">
      <c r="A8890" t="str">
        <f>"0611840260100"</f>
        <v>0611840260100</v>
      </c>
      <c r="B8890" t="str">
        <f>"LK6649"</f>
        <v>LK6649</v>
      </c>
      <c r="C8890" t="s">
        <v>8719</v>
      </c>
    </row>
    <row r="8891" spans="1:3" x14ac:dyDescent="0.25">
      <c r="A8891" t="str">
        <f>"0611840261100"</f>
        <v>0611840261100</v>
      </c>
      <c r="B8891" t="str">
        <f>"LK6408"</f>
        <v>LK6408</v>
      </c>
      <c r="C8891" t="s">
        <v>8720</v>
      </c>
    </row>
    <row r="8892" spans="1:3" x14ac:dyDescent="0.25">
      <c r="A8892" t="str">
        <f>"0611840262100"</f>
        <v>0611840262100</v>
      </c>
      <c r="B8892" t="str">
        <f>"LK6409"</f>
        <v>LK6409</v>
      </c>
      <c r="C8892" t="s">
        <v>8721</v>
      </c>
    </row>
    <row r="8893" spans="1:3" x14ac:dyDescent="0.25">
      <c r="A8893" t="str">
        <f>"0611840263100"</f>
        <v>0611840263100</v>
      </c>
      <c r="B8893" t="str">
        <f>"LK6917"</f>
        <v>LK6917</v>
      </c>
      <c r="C8893" t="s">
        <v>8722</v>
      </c>
    </row>
    <row r="8894" spans="1:3" x14ac:dyDescent="0.25">
      <c r="A8894" t="str">
        <f>"0611840264100"</f>
        <v>0611840264100</v>
      </c>
      <c r="B8894" t="str">
        <f>"LK6410"</f>
        <v>LK6410</v>
      </c>
      <c r="C8894" t="s">
        <v>8724</v>
      </c>
    </row>
    <row r="8895" spans="1:3" x14ac:dyDescent="0.25">
      <c r="A8895" t="str">
        <f>"0611840265100"</f>
        <v>0611840265100</v>
      </c>
      <c r="B8895" t="str">
        <f>"LK6411"</f>
        <v>LK6411</v>
      </c>
      <c r="C8895" t="s">
        <v>8723</v>
      </c>
    </row>
    <row r="8896" spans="1:3" x14ac:dyDescent="0.25">
      <c r="A8896" t="str">
        <f>"0611840268100"</f>
        <v>0611840268100</v>
      </c>
      <c r="B8896" t="str">
        <f>"LB7821"</f>
        <v>LB7821</v>
      </c>
      <c r="C8896" t="s">
        <v>8725</v>
      </c>
    </row>
    <row r="8897" spans="1:3" x14ac:dyDescent="0.25">
      <c r="A8897" t="str">
        <f>"0611840273100"</f>
        <v>0611840273100</v>
      </c>
      <c r="B8897" t="str">
        <f>"LK6489"</f>
        <v>LK6489</v>
      </c>
      <c r="C8897" t="s">
        <v>8726</v>
      </c>
    </row>
    <row r="8898" spans="1:3" x14ac:dyDescent="0.25">
      <c r="A8898" t="str">
        <f>"0611840272100"</f>
        <v>0611840272100</v>
      </c>
      <c r="B8898" t="str">
        <f>"LK6490"</f>
        <v>LK6490</v>
      </c>
      <c r="C8898" t="s">
        <v>8727</v>
      </c>
    </row>
    <row r="8899" spans="1:3" x14ac:dyDescent="0.25">
      <c r="A8899" t="str">
        <f>"0611840274100"</f>
        <v>0611840274100</v>
      </c>
      <c r="B8899" t="str">
        <f>"LK6491"</f>
        <v>LK6491</v>
      </c>
      <c r="C8899" t="s">
        <v>8728</v>
      </c>
    </row>
    <row r="8900" spans="1:3" x14ac:dyDescent="0.25">
      <c r="A8900" t="str">
        <f>"0611840275100"</f>
        <v>0611840275100</v>
      </c>
      <c r="B8900" t="str">
        <f>"LK6492"</f>
        <v>LK6492</v>
      </c>
      <c r="C8900" t="s">
        <v>8729</v>
      </c>
    </row>
    <row r="8901" spans="1:3" x14ac:dyDescent="0.25">
      <c r="A8901" t="str">
        <f>"0611840276100"</f>
        <v>0611840276100</v>
      </c>
      <c r="B8901" t="str">
        <f>"LK6493"</f>
        <v>LK6493</v>
      </c>
      <c r="C8901" t="s">
        <v>8730</v>
      </c>
    </row>
    <row r="8902" spans="1:3" x14ac:dyDescent="0.25">
      <c r="A8902" t="str">
        <f>"0611840277100"</f>
        <v>0611840277100</v>
      </c>
      <c r="B8902" t="str">
        <f>"LK6494"</f>
        <v>LK6494</v>
      </c>
      <c r="C8902" t="s">
        <v>8731</v>
      </c>
    </row>
    <row r="8903" spans="1:3" x14ac:dyDescent="0.25">
      <c r="A8903" t="str">
        <f>"0611840278100"</f>
        <v>0611840278100</v>
      </c>
      <c r="B8903" t="str">
        <f>"LK6495"</f>
        <v>LK6495</v>
      </c>
      <c r="C8903" t="s">
        <v>8732</v>
      </c>
    </row>
    <row r="8904" spans="1:3" x14ac:dyDescent="0.25">
      <c r="A8904" t="str">
        <f>"0611840279100"</f>
        <v>0611840279100</v>
      </c>
      <c r="B8904" t="str">
        <f>"LK6496"</f>
        <v>LK6496</v>
      </c>
      <c r="C8904" t="s">
        <v>8733</v>
      </c>
    </row>
    <row r="8905" spans="1:3" x14ac:dyDescent="0.25">
      <c r="A8905" t="str">
        <f>"0611840281100"</f>
        <v>0611840281100</v>
      </c>
      <c r="B8905" t="str">
        <f>"LK6498"</f>
        <v>LK6498</v>
      </c>
      <c r="C8905" t="s">
        <v>8734</v>
      </c>
    </row>
    <row r="8906" spans="1:3" x14ac:dyDescent="0.25">
      <c r="A8906" t="str">
        <f>"0611840282100"</f>
        <v>0611840282100</v>
      </c>
      <c r="B8906" t="str">
        <f>"LK6499"</f>
        <v>LK6499</v>
      </c>
      <c r="C8906" t="s">
        <v>8735</v>
      </c>
    </row>
    <row r="8907" spans="1:3" x14ac:dyDescent="0.25">
      <c r="A8907" t="str">
        <f>"0611840283100"</f>
        <v>0611840283100</v>
      </c>
      <c r="B8907" t="str">
        <f>"LK6500"</f>
        <v>LK6500</v>
      </c>
      <c r="C8907" t="s">
        <v>8736</v>
      </c>
    </row>
    <row r="8908" spans="1:3" x14ac:dyDescent="0.25">
      <c r="A8908" t="str">
        <f>"0611840285100"</f>
        <v>0611840285100</v>
      </c>
      <c r="B8908" t="str">
        <f>"LK6501"</f>
        <v>LK6501</v>
      </c>
      <c r="C8908" t="s">
        <v>8737</v>
      </c>
    </row>
    <row r="8909" spans="1:3" x14ac:dyDescent="0.25">
      <c r="A8909" t="str">
        <f>"0611840284100"</f>
        <v>0611840284100</v>
      </c>
      <c r="B8909" t="str">
        <f>"LK6502"</f>
        <v>LK6502</v>
      </c>
      <c r="C8909" t="s">
        <v>8739</v>
      </c>
    </row>
    <row r="8910" spans="1:3" x14ac:dyDescent="0.25">
      <c r="A8910" t="str">
        <f>"0611840286100"</f>
        <v>0611840286100</v>
      </c>
      <c r="B8910" t="str">
        <f>"LK6671"</f>
        <v>LK6671</v>
      </c>
      <c r="C8910" t="s">
        <v>8738</v>
      </c>
    </row>
    <row r="8911" spans="1:3" x14ac:dyDescent="0.25">
      <c r="A8911" t="str">
        <f>"0611840287100"</f>
        <v>0611840287100</v>
      </c>
      <c r="B8911" t="str">
        <f>"LK6251"</f>
        <v>LK6251</v>
      </c>
      <c r="C8911" t="s">
        <v>8740</v>
      </c>
    </row>
    <row r="8912" spans="1:3" x14ac:dyDescent="0.25">
      <c r="A8912" t="str">
        <f>"0611840289100"</f>
        <v>0611840289100</v>
      </c>
      <c r="B8912" t="str">
        <f>"LK5834"</f>
        <v>LK5834</v>
      </c>
      <c r="C8912" t="s">
        <v>8741</v>
      </c>
    </row>
    <row r="8913" spans="1:3" x14ac:dyDescent="0.25">
      <c r="A8913" t="str">
        <f>"0611840294100"</f>
        <v>0611840294100</v>
      </c>
      <c r="B8913" t="str">
        <f>"LK6349"</f>
        <v>LK6349</v>
      </c>
      <c r="C8913" t="s">
        <v>8742</v>
      </c>
    </row>
    <row r="8914" spans="1:3" x14ac:dyDescent="0.25">
      <c r="A8914" t="str">
        <f>"0611840295100"</f>
        <v>0611840295100</v>
      </c>
      <c r="B8914" t="str">
        <f>"LK4432"</f>
        <v>LK4432</v>
      </c>
      <c r="C8914" t="s">
        <v>8743</v>
      </c>
    </row>
    <row r="8915" spans="1:3" x14ac:dyDescent="0.25">
      <c r="A8915" t="str">
        <f>"0611840296100"</f>
        <v>0611840296100</v>
      </c>
      <c r="B8915" t="str">
        <f>"LK3248"</f>
        <v>LK3248</v>
      </c>
      <c r="C8915" t="s">
        <v>8744</v>
      </c>
    </row>
    <row r="8916" spans="1:3" x14ac:dyDescent="0.25">
      <c r="A8916" t="str">
        <f>"0611864311100"</f>
        <v>0611864311100</v>
      </c>
      <c r="B8916" t="str">
        <f>"CN5436"</f>
        <v>CN5436</v>
      </c>
      <c r="C8916" t="s">
        <v>8745</v>
      </c>
    </row>
    <row r="8917" spans="1:3" x14ac:dyDescent="0.25">
      <c r="A8917" t="str">
        <f>"0611840299025"</f>
        <v>0611840299025</v>
      </c>
      <c r="B8917" t="str">
        <f>"MC2792"</f>
        <v>MC2792</v>
      </c>
      <c r="C8917" t="s">
        <v>8746</v>
      </c>
    </row>
    <row r="8918" spans="1:3" x14ac:dyDescent="0.25">
      <c r="A8918" t="str">
        <f>"0611840301100"</f>
        <v>0611840301100</v>
      </c>
      <c r="B8918" t="str">
        <f>"LK3899"</f>
        <v>LK3899</v>
      </c>
      <c r="C8918" t="s">
        <v>8747</v>
      </c>
    </row>
    <row r="8919" spans="1:3" x14ac:dyDescent="0.25">
      <c r="A8919" t="str">
        <f>"0611840302100"</f>
        <v>0611840302100</v>
      </c>
      <c r="B8919" t="str">
        <f>"LK5503"</f>
        <v>LK5503</v>
      </c>
      <c r="C8919" t="s">
        <v>8748</v>
      </c>
    </row>
    <row r="8920" spans="1:3" x14ac:dyDescent="0.25">
      <c r="A8920" t="str">
        <f>"0611840303100"</f>
        <v>0611840303100</v>
      </c>
      <c r="B8920" t="str">
        <f>"LK6412"</f>
        <v>LK6412</v>
      </c>
      <c r="C8920" t="s">
        <v>8749</v>
      </c>
    </row>
    <row r="8921" spans="1:3" x14ac:dyDescent="0.25">
      <c r="A8921" t="str">
        <f>"0611840304100"</f>
        <v>0611840304100</v>
      </c>
      <c r="B8921" t="str">
        <f>"LK1642"</f>
        <v>LK1642</v>
      </c>
      <c r="C8921" t="s">
        <v>8750</v>
      </c>
    </row>
    <row r="8922" spans="1:3" x14ac:dyDescent="0.25">
      <c r="A8922" t="str">
        <f>"0611840305100"</f>
        <v>0611840305100</v>
      </c>
      <c r="B8922" t="str">
        <f>"LK3421"</f>
        <v>LK3421</v>
      </c>
      <c r="C8922" t="s">
        <v>8751</v>
      </c>
    </row>
    <row r="8923" spans="1:3" x14ac:dyDescent="0.25">
      <c r="A8923" t="str">
        <f>"0611840306100"</f>
        <v>0611840306100</v>
      </c>
      <c r="B8923" t="str">
        <f>"LK6095"</f>
        <v>LK6095</v>
      </c>
      <c r="C8923" t="s">
        <v>8752</v>
      </c>
    </row>
    <row r="8924" spans="1:3" x14ac:dyDescent="0.25">
      <c r="A8924" t="str">
        <f>"0611840307100"</f>
        <v>0611840307100</v>
      </c>
      <c r="B8924" t="str">
        <f>"LK6651"</f>
        <v>LK6651</v>
      </c>
      <c r="C8924" t="s">
        <v>8753</v>
      </c>
    </row>
    <row r="8925" spans="1:3" x14ac:dyDescent="0.25">
      <c r="A8925" t="str">
        <f>"0611840308100"</f>
        <v>0611840308100</v>
      </c>
      <c r="B8925" t="str">
        <f>"LK6756"</f>
        <v>LK6756</v>
      </c>
      <c r="C8925" t="s">
        <v>8755</v>
      </c>
    </row>
    <row r="8926" spans="1:3" x14ac:dyDescent="0.25">
      <c r="A8926" t="str">
        <f>"0611840314100"</f>
        <v>0611840314100</v>
      </c>
      <c r="B8926" t="str">
        <f>"LK6759"</f>
        <v>LK6759</v>
      </c>
      <c r="C8926" t="s">
        <v>8754</v>
      </c>
    </row>
    <row r="8927" spans="1:3" x14ac:dyDescent="0.25">
      <c r="A8927" t="str">
        <f>"0611840315100"</f>
        <v>0611840315100</v>
      </c>
      <c r="B8927" t="str">
        <f>"LK6757"</f>
        <v>LK6757</v>
      </c>
      <c r="C8927" t="s">
        <v>8758</v>
      </c>
    </row>
    <row r="8928" spans="1:3" x14ac:dyDescent="0.25">
      <c r="A8928" t="str">
        <f>"0611840309100"</f>
        <v>0611840309100</v>
      </c>
      <c r="B8928" t="str">
        <f>"LK6758"</f>
        <v>LK6758</v>
      </c>
      <c r="C8928" t="s">
        <v>8756</v>
      </c>
    </row>
    <row r="8929" spans="1:3" x14ac:dyDescent="0.25">
      <c r="A8929" t="str">
        <f>"0611840310100"</f>
        <v>0611840310100</v>
      </c>
      <c r="B8929" t="str">
        <f>"LK1643"</f>
        <v>LK1643</v>
      </c>
      <c r="C8929" t="s">
        <v>8757</v>
      </c>
    </row>
    <row r="8930" spans="1:3" x14ac:dyDescent="0.25">
      <c r="A8930" t="str">
        <f>"0611840311100"</f>
        <v>0611840311100</v>
      </c>
      <c r="B8930" t="str">
        <f>"LK4860"</f>
        <v>LK4860</v>
      </c>
      <c r="C8930" t="s">
        <v>8759</v>
      </c>
    </row>
    <row r="8931" spans="1:3" x14ac:dyDescent="0.25">
      <c r="A8931" t="str">
        <f>"0611840312100"</f>
        <v>0611840312100</v>
      </c>
      <c r="B8931" t="str">
        <f>"LK4862"</f>
        <v>LK4862</v>
      </c>
      <c r="C8931" t="s">
        <v>8760</v>
      </c>
    </row>
    <row r="8932" spans="1:3" x14ac:dyDescent="0.25">
      <c r="A8932" t="str">
        <f>"0611840313100"</f>
        <v>0611840313100</v>
      </c>
      <c r="B8932" t="str">
        <f>"LK1644"</f>
        <v>LK1644</v>
      </c>
      <c r="C8932" t="s">
        <v>8761</v>
      </c>
    </row>
    <row r="8933" spans="1:3" x14ac:dyDescent="0.25">
      <c r="A8933" t="str">
        <f>"0611840316100"</f>
        <v>0611840316100</v>
      </c>
      <c r="B8933" t="str">
        <f>"LK3423"</f>
        <v>LK3423</v>
      </c>
      <c r="C8933" t="s">
        <v>8762</v>
      </c>
    </row>
    <row r="8934" spans="1:3" x14ac:dyDescent="0.25">
      <c r="A8934" t="str">
        <f>"0611840324100"</f>
        <v>0611840324100</v>
      </c>
      <c r="B8934" t="str">
        <f>"LK7018"</f>
        <v>LK7018</v>
      </c>
      <c r="C8934" t="s">
        <v>8764</v>
      </c>
    </row>
    <row r="8935" spans="1:3" x14ac:dyDescent="0.25">
      <c r="A8935" t="str">
        <f>"0611840325100"</f>
        <v>0611840325100</v>
      </c>
      <c r="B8935" t="str">
        <f>"LK6870"</f>
        <v>LK6870</v>
      </c>
      <c r="C8935" t="s">
        <v>8765</v>
      </c>
    </row>
    <row r="8936" spans="1:3" x14ac:dyDescent="0.25">
      <c r="A8936" t="str">
        <f>"0611840326100"</f>
        <v>0611840326100</v>
      </c>
      <c r="B8936" t="str">
        <f>"LK5504"</f>
        <v>LK5504</v>
      </c>
      <c r="C8936" t="s">
        <v>8767</v>
      </c>
    </row>
    <row r="8937" spans="1:3" x14ac:dyDescent="0.25">
      <c r="A8937" t="str">
        <f>"0611840327100"</f>
        <v>0611840327100</v>
      </c>
      <c r="B8937" t="str">
        <f>"LK6725"</f>
        <v>LK6725</v>
      </c>
      <c r="C8937" t="s">
        <v>8766</v>
      </c>
    </row>
    <row r="8938" spans="1:3" x14ac:dyDescent="0.25">
      <c r="A8938" t="str">
        <f>"0611840328100"</f>
        <v>0611840328100</v>
      </c>
      <c r="B8938" t="str">
        <f>"LK5505"</f>
        <v>LK5505</v>
      </c>
      <c r="C8938" t="s">
        <v>8768</v>
      </c>
    </row>
    <row r="8939" spans="1:3" x14ac:dyDescent="0.25">
      <c r="A8939" t="str">
        <f>"0611840329100"</f>
        <v>0611840329100</v>
      </c>
      <c r="B8939" t="str">
        <f>"LK5506"</f>
        <v>LK5506</v>
      </c>
      <c r="C8939" t="s">
        <v>8769</v>
      </c>
    </row>
    <row r="8940" spans="1:3" x14ac:dyDescent="0.25">
      <c r="A8940" t="str">
        <f>"0611840330100"</f>
        <v>0611840330100</v>
      </c>
      <c r="B8940" t="str">
        <f>"LK5507"</f>
        <v>LK5507</v>
      </c>
      <c r="C8940" t="s">
        <v>8770</v>
      </c>
    </row>
    <row r="8941" spans="1:3" x14ac:dyDescent="0.25">
      <c r="A8941" t="str">
        <f>"0611840331100"</f>
        <v>0611840331100</v>
      </c>
      <c r="B8941" t="str">
        <f>"LK7019"</f>
        <v>LK7019</v>
      </c>
      <c r="C8941" t="s">
        <v>8771</v>
      </c>
    </row>
    <row r="8942" spans="1:3" x14ac:dyDescent="0.25">
      <c r="A8942" t="str">
        <f>"0611840332100"</f>
        <v>0611840332100</v>
      </c>
      <c r="B8942" t="str">
        <f>"LK7020"</f>
        <v>LK7020</v>
      </c>
      <c r="C8942" t="s">
        <v>8772</v>
      </c>
    </row>
    <row r="8943" spans="1:3" x14ac:dyDescent="0.25">
      <c r="A8943" t="str">
        <f>"0611840333100"</f>
        <v>0611840333100</v>
      </c>
      <c r="B8943" t="str">
        <f>"LK6726"</f>
        <v>LK6726</v>
      </c>
      <c r="C8943" t="s">
        <v>8773</v>
      </c>
    </row>
    <row r="8944" spans="1:3" x14ac:dyDescent="0.25">
      <c r="A8944" t="str">
        <f>"0611840334100"</f>
        <v>0611840334100</v>
      </c>
      <c r="B8944" t="str">
        <f>"LK7021"</f>
        <v>LK7021</v>
      </c>
      <c r="C8944" t="s">
        <v>8774</v>
      </c>
    </row>
    <row r="8945" spans="1:3" x14ac:dyDescent="0.25">
      <c r="A8945" t="str">
        <f>"0611840335100"</f>
        <v>0611840335100</v>
      </c>
      <c r="B8945" t="str">
        <f>"LK6727"</f>
        <v>LK6727</v>
      </c>
      <c r="C8945" t="s">
        <v>8775</v>
      </c>
    </row>
    <row r="8946" spans="1:3" x14ac:dyDescent="0.25">
      <c r="A8946" t="str">
        <f>"0611840336100"</f>
        <v>0611840336100</v>
      </c>
      <c r="B8946" t="str">
        <f>"LK6728"</f>
        <v>LK6728</v>
      </c>
      <c r="C8946" t="s">
        <v>8776</v>
      </c>
    </row>
    <row r="8947" spans="1:3" x14ac:dyDescent="0.25">
      <c r="A8947" t="str">
        <f>"0611840337100"</f>
        <v>0611840337100</v>
      </c>
      <c r="B8947" t="str">
        <f>"LK6729"</f>
        <v>LK6729</v>
      </c>
      <c r="C8947" t="s">
        <v>8777</v>
      </c>
    </row>
    <row r="8948" spans="1:3" x14ac:dyDescent="0.25">
      <c r="A8948" t="str">
        <f>"0611840338100"</f>
        <v>0611840338100</v>
      </c>
      <c r="B8948" t="str">
        <f>"LK6730"</f>
        <v>LK6730</v>
      </c>
      <c r="C8948" t="s">
        <v>8778</v>
      </c>
    </row>
    <row r="8949" spans="1:3" x14ac:dyDescent="0.25">
      <c r="A8949" t="str">
        <f>"0611857047100"</f>
        <v>0611857047100</v>
      </c>
      <c r="B8949" t="str">
        <f>"LK7095"</f>
        <v>LK7095</v>
      </c>
      <c r="C8949" t="s">
        <v>8779</v>
      </c>
    </row>
    <row r="8950" spans="1:3" x14ac:dyDescent="0.25">
      <c r="A8950" t="str">
        <f>"0611840340100"</f>
        <v>0611840340100</v>
      </c>
      <c r="B8950" t="str">
        <f>"LK6871"</f>
        <v>LK6871</v>
      </c>
      <c r="C8950" t="s">
        <v>8780</v>
      </c>
    </row>
    <row r="8951" spans="1:3" x14ac:dyDescent="0.25">
      <c r="A8951" t="str">
        <f>"0611840341100"</f>
        <v>0611840341100</v>
      </c>
      <c r="B8951" t="str">
        <f>"LK6724"</f>
        <v>LK6724</v>
      </c>
      <c r="C8951" t="s">
        <v>8781</v>
      </c>
    </row>
    <row r="8952" spans="1:3" x14ac:dyDescent="0.25">
      <c r="A8952" t="str">
        <f>"0611840343100"</f>
        <v>0611840343100</v>
      </c>
      <c r="B8952" t="str">
        <f>"LK6731"</f>
        <v>LK6731</v>
      </c>
      <c r="C8952" t="s">
        <v>8782</v>
      </c>
    </row>
    <row r="8953" spans="1:3" x14ac:dyDescent="0.25">
      <c r="A8953" t="str">
        <f>"0611840344100"</f>
        <v>0611840344100</v>
      </c>
      <c r="B8953" t="str">
        <f>"LK6733"</f>
        <v>LK6733</v>
      </c>
      <c r="C8953" t="s">
        <v>8783</v>
      </c>
    </row>
    <row r="8954" spans="1:3" x14ac:dyDescent="0.25">
      <c r="A8954" t="str">
        <f>"0611840342100"</f>
        <v>0611840342100</v>
      </c>
      <c r="B8954" t="str">
        <f>"LK6732"</f>
        <v>LK6732</v>
      </c>
      <c r="C8954" t="s">
        <v>8784</v>
      </c>
    </row>
    <row r="8955" spans="1:3" x14ac:dyDescent="0.25">
      <c r="A8955" t="str">
        <f>"0611840345100"</f>
        <v>0611840345100</v>
      </c>
      <c r="B8955" t="str">
        <f>"LK6734"</f>
        <v>LK6734</v>
      </c>
      <c r="C8955" t="s">
        <v>8785</v>
      </c>
    </row>
    <row r="8956" spans="1:3" x14ac:dyDescent="0.25">
      <c r="A8956" t="str">
        <f>"0611840346100"</f>
        <v>0611840346100</v>
      </c>
      <c r="B8956" t="str">
        <f>"LK6735"</f>
        <v>LK6735</v>
      </c>
      <c r="C8956" t="s">
        <v>8786</v>
      </c>
    </row>
    <row r="8957" spans="1:3" x14ac:dyDescent="0.25">
      <c r="A8957" t="str">
        <f>"0611840347100"</f>
        <v>0611840347100</v>
      </c>
      <c r="B8957" t="str">
        <f>"LK1331"</f>
        <v>LK1331</v>
      </c>
      <c r="C8957" t="s">
        <v>8787</v>
      </c>
    </row>
    <row r="8958" spans="1:3" x14ac:dyDescent="0.25">
      <c r="A8958" t="str">
        <f>"0611840348025"</f>
        <v>0611840348025</v>
      </c>
      <c r="B8958" t="str">
        <f>"MQ0458"</f>
        <v>MQ0458</v>
      </c>
      <c r="C8958" t="s">
        <v>8788</v>
      </c>
    </row>
    <row r="8959" spans="1:3" x14ac:dyDescent="0.25">
      <c r="A8959" t="str">
        <f>"0611840349025"</f>
        <v>0611840349025</v>
      </c>
      <c r="B8959" t="str">
        <f>"MQ3204"</f>
        <v>MQ3204</v>
      </c>
      <c r="C8959" t="s">
        <v>8789</v>
      </c>
    </row>
    <row r="8960" spans="1:3" x14ac:dyDescent="0.25">
      <c r="A8960" t="str">
        <f>"0611840350025"</f>
        <v>0611840350025</v>
      </c>
      <c r="B8960" t="str">
        <f>"MQ3205"</f>
        <v>MQ3205</v>
      </c>
      <c r="C8960" t="s">
        <v>8790</v>
      </c>
    </row>
    <row r="8961" spans="1:3" x14ac:dyDescent="0.25">
      <c r="A8961" t="str">
        <f>"0611840351025"</f>
        <v>0611840351025</v>
      </c>
      <c r="B8961" t="str">
        <f>"MQ3206"</f>
        <v>MQ3206</v>
      </c>
      <c r="C8961" t="s">
        <v>8791</v>
      </c>
    </row>
    <row r="8962" spans="1:3" x14ac:dyDescent="0.25">
      <c r="A8962" t="str">
        <f>"0611840352025"</f>
        <v>0611840352025</v>
      </c>
      <c r="B8962" t="str">
        <f>"MQ3207"</f>
        <v>MQ3207</v>
      </c>
      <c r="C8962" t="s">
        <v>8792</v>
      </c>
    </row>
    <row r="8963" spans="1:3" x14ac:dyDescent="0.25">
      <c r="A8963" t="str">
        <f>"0611840354100"</f>
        <v>0611840354100</v>
      </c>
      <c r="B8963" t="str">
        <f>"LH0047"</f>
        <v>LH0047</v>
      </c>
      <c r="C8963" t="s">
        <v>8793</v>
      </c>
    </row>
    <row r="8964" spans="1:3" x14ac:dyDescent="0.25">
      <c r="A8964" t="str">
        <f>"0611840355100"</f>
        <v>0611840355100</v>
      </c>
      <c r="B8964" t="str">
        <f>"LB9370"</f>
        <v>LB9370</v>
      </c>
      <c r="C8964" t="s">
        <v>8794</v>
      </c>
    </row>
    <row r="8965" spans="1:3" x14ac:dyDescent="0.25">
      <c r="A8965" t="str">
        <f>"0611840356100"</f>
        <v>0611840356100</v>
      </c>
      <c r="B8965" t="str">
        <f>"LB5961"</f>
        <v>LB5961</v>
      </c>
      <c r="C8965" t="s">
        <v>8795</v>
      </c>
    </row>
    <row r="8966" spans="1:3" x14ac:dyDescent="0.25">
      <c r="A8966" t="str">
        <f>"0611840369100"</f>
        <v>0611840369100</v>
      </c>
      <c r="B8966" t="str">
        <f>"LK5826"</f>
        <v>LK5826</v>
      </c>
      <c r="C8966" t="s">
        <v>8804</v>
      </c>
    </row>
    <row r="8967" spans="1:3" x14ac:dyDescent="0.25">
      <c r="A8967" t="str">
        <f>"0611840359100"</f>
        <v>0611840359100</v>
      </c>
      <c r="B8967" t="str">
        <f>"LK5827"</f>
        <v>LK5827</v>
      </c>
      <c r="C8967" t="s">
        <v>8796</v>
      </c>
    </row>
    <row r="8968" spans="1:3" x14ac:dyDescent="0.25">
      <c r="A8968" t="str">
        <f>"0611840360100"</f>
        <v>0611840360100</v>
      </c>
      <c r="B8968" t="str">
        <f>"LK5828"</f>
        <v>LK5828</v>
      </c>
      <c r="C8968" t="s">
        <v>8797</v>
      </c>
    </row>
    <row r="8969" spans="1:3" x14ac:dyDescent="0.25">
      <c r="A8969" t="str">
        <f>"0611840361100"</f>
        <v>0611840361100</v>
      </c>
      <c r="B8969" t="str">
        <f>"LK6096"</f>
        <v>LK6096</v>
      </c>
      <c r="C8969" t="s">
        <v>8798</v>
      </c>
    </row>
    <row r="8970" spans="1:3" x14ac:dyDescent="0.25">
      <c r="A8970" t="str">
        <f>"0611840362100"</f>
        <v>0611840362100</v>
      </c>
      <c r="B8970" t="str">
        <f>"LK7022"</f>
        <v>LK7022</v>
      </c>
      <c r="C8970" t="s">
        <v>8799</v>
      </c>
    </row>
    <row r="8971" spans="1:3" x14ac:dyDescent="0.25">
      <c r="A8971" t="str">
        <f>"0611840366100"</f>
        <v>0611840366100</v>
      </c>
      <c r="B8971" t="str">
        <f>"LK5832"</f>
        <v>LK5832</v>
      </c>
      <c r="C8971" t="s">
        <v>8800</v>
      </c>
    </row>
    <row r="8972" spans="1:3" x14ac:dyDescent="0.25">
      <c r="A8972" t="str">
        <f>"0611840365100"</f>
        <v>0611840365100</v>
      </c>
      <c r="B8972" t="str">
        <f>"LK5833"</f>
        <v>LK5833</v>
      </c>
      <c r="C8972" t="s">
        <v>8801</v>
      </c>
    </row>
    <row r="8973" spans="1:3" x14ac:dyDescent="0.25">
      <c r="A8973" t="str">
        <f>"0611840368100"</f>
        <v>0611840368100</v>
      </c>
      <c r="B8973" t="str">
        <f>"LK5835"</f>
        <v>LK5835</v>
      </c>
      <c r="C8973" t="s">
        <v>8802</v>
      </c>
    </row>
    <row r="8974" spans="1:3" x14ac:dyDescent="0.25">
      <c r="A8974" t="str">
        <f>"0611840367100"</f>
        <v>0611840367100</v>
      </c>
      <c r="B8974" t="str">
        <f>"LK5836"</f>
        <v>LK5836</v>
      </c>
      <c r="C8974" t="s">
        <v>8803</v>
      </c>
    </row>
    <row r="8975" spans="1:3" x14ac:dyDescent="0.25">
      <c r="A8975" t="str">
        <f>"0611840370100"</f>
        <v>0611840370100</v>
      </c>
      <c r="B8975" t="str">
        <f>"LK6825"</f>
        <v>LK6825</v>
      </c>
      <c r="C8975" t="s">
        <v>8805</v>
      </c>
    </row>
    <row r="8976" spans="1:3" x14ac:dyDescent="0.25">
      <c r="A8976" t="str">
        <f>"0611840376100"</f>
        <v>0611840376100</v>
      </c>
      <c r="B8976" t="str">
        <f>"LK6097"</f>
        <v>LK6097</v>
      </c>
      <c r="C8976" t="s">
        <v>8807</v>
      </c>
    </row>
    <row r="8977" spans="1:3" x14ac:dyDescent="0.25">
      <c r="A8977" t="str">
        <f>"0611840375100"</f>
        <v>0611840375100</v>
      </c>
      <c r="B8977" t="str">
        <f>"LK6826"</f>
        <v>LK6826</v>
      </c>
      <c r="C8977" t="s">
        <v>8806</v>
      </c>
    </row>
    <row r="8978" spans="1:3" x14ac:dyDescent="0.25">
      <c r="A8978" t="str">
        <f>"0611840377100"</f>
        <v>0611840377100</v>
      </c>
      <c r="B8978" t="str">
        <f>"LK5840"</f>
        <v>LK5840</v>
      </c>
      <c r="C8978" t="s">
        <v>8808</v>
      </c>
    </row>
    <row r="8979" spans="1:3" x14ac:dyDescent="0.25">
      <c r="A8979" t="str">
        <f>"0611840379100"</f>
        <v>0611840379100</v>
      </c>
      <c r="B8979" t="str">
        <f>"LK5842"</f>
        <v>LK5842</v>
      </c>
      <c r="C8979" t="s">
        <v>8809</v>
      </c>
    </row>
    <row r="8980" spans="1:3" x14ac:dyDescent="0.25">
      <c r="A8980" t="str">
        <f>"0611840380100"</f>
        <v>0611840380100</v>
      </c>
      <c r="B8980" t="str">
        <f>"LK6415"</f>
        <v>LK6415</v>
      </c>
      <c r="C8980" t="s">
        <v>8810</v>
      </c>
    </row>
    <row r="8981" spans="1:3" x14ac:dyDescent="0.25">
      <c r="A8981" t="str">
        <f>"0611840387100"</f>
        <v>0611840387100</v>
      </c>
      <c r="B8981" t="str">
        <f>"LK4391"</f>
        <v>LK4391</v>
      </c>
      <c r="C8981" t="s">
        <v>8811</v>
      </c>
    </row>
    <row r="8982" spans="1:3" x14ac:dyDescent="0.25">
      <c r="A8982" t="str">
        <f>"0611840390100"</f>
        <v>0611840390100</v>
      </c>
      <c r="B8982" t="str">
        <f>"LB9372"</f>
        <v>LB9372</v>
      </c>
      <c r="C8982" t="s">
        <v>8812</v>
      </c>
    </row>
    <row r="8983" spans="1:3" x14ac:dyDescent="0.25">
      <c r="A8983" t="str">
        <f>"0611840391100"</f>
        <v>0611840391100</v>
      </c>
      <c r="B8983" t="str">
        <f>"LB5983"</f>
        <v>LB5983</v>
      </c>
      <c r="C8983" t="s">
        <v>8813</v>
      </c>
    </row>
    <row r="8984" spans="1:3" x14ac:dyDescent="0.25">
      <c r="A8984" t="str">
        <f>"0611840399100"</f>
        <v>0611840399100</v>
      </c>
      <c r="B8984" t="str">
        <f>"LK5291"</f>
        <v>LK5291</v>
      </c>
      <c r="C8984" t="s">
        <v>8814</v>
      </c>
    </row>
    <row r="8985" spans="1:3" x14ac:dyDescent="0.25">
      <c r="A8985" t="str">
        <f>"0611864320100"</f>
        <v>0611864320100</v>
      </c>
      <c r="B8985" t="str">
        <f>"CN5433"</f>
        <v>CN5433</v>
      </c>
      <c r="C8985" t="s">
        <v>8815</v>
      </c>
    </row>
    <row r="8986" spans="1:3" x14ac:dyDescent="0.25">
      <c r="A8986" t="str">
        <f>"0611864322100"</f>
        <v>0611864322100</v>
      </c>
      <c r="B8986" t="str">
        <f>"CN5434"</f>
        <v>CN5434</v>
      </c>
      <c r="C8986" t="s">
        <v>8816</v>
      </c>
    </row>
    <row r="8987" spans="1:3" x14ac:dyDescent="0.25">
      <c r="A8987" t="str">
        <f>"0611840317100"</f>
        <v>0611840317100</v>
      </c>
      <c r="B8987" t="str">
        <f>"LK5592"</f>
        <v>LK5592</v>
      </c>
      <c r="C8987" t="s">
        <v>8817</v>
      </c>
    </row>
    <row r="8988" spans="1:3" x14ac:dyDescent="0.25">
      <c r="A8988" t="str">
        <f>"0611840408100"</f>
        <v>0611840408100</v>
      </c>
      <c r="B8988" t="str">
        <f>"LK6337"</f>
        <v>LK6337</v>
      </c>
      <c r="C8988" t="s">
        <v>8820</v>
      </c>
    </row>
    <row r="8989" spans="1:3" x14ac:dyDescent="0.25">
      <c r="A8989" t="str">
        <f>"0611840407100"</f>
        <v>0611840407100</v>
      </c>
      <c r="B8989" t="str">
        <f>"LK0283"</f>
        <v>LK0283</v>
      </c>
      <c r="C8989" t="s">
        <v>8819</v>
      </c>
    </row>
    <row r="8990" spans="1:3" x14ac:dyDescent="0.25">
      <c r="A8990" t="str">
        <f>"0611840405100"</f>
        <v>0611840405100</v>
      </c>
      <c r="B8990" t="str">
        <f>"LK4695"</f>
        <v>LK4695</v>
      </c>
      <c r="C8990" t="s">
        <v>8818</v>
      </c>
    </row>
    <row r="8991" spans="1:3" x14ac:dyDescent="0.25">
      <c r="A8991" t="str">
        <f>"0611840409100"</f>
        <v>0611840409100</v>
      </c>
      <c r="B8991" t="str">
        <f>"LK5860"</f>
        <v>LK5860</v>
      </c>
      <c r="C8991" t="s">
        <v>8821</v>
      </c>
    </row>
    <row r="8992" spans="1:3" x14ac:dyDescent="0.25">
      <c r="A8992" t="str">
        <f>"0611840318100"</f>
        <v>0611840318100</v>
      </c>
      <c r="B8992" t="str">
        <f>"LK5593"</f>
        <v>LK5593</v>
      </c>
      <c r="C8992" t="s">
        <v>8822</v>
      </c>
    </row>
    <row r="8993" spans="1:3" x14ac:dyDescent="0.25">
      <c r="A8993" t="str">
        <f>"0611840410100"</f>
        <v>0611840410100</v>
      </c>
      <c r="B8993" t="str">
        <f>"LK5594"</f>
        <v>LK5594</v>
      </c>
      <c r="C8993" t="s">
        <v>8823</v>
      </c>
    </row>
    <row r="8994" spans="1:3" x14ac:dyDescent="0.25">
      <c r="A8994" t="str">
        <f>"0611840319100"</f>
        <v>0611840319100</v>
      </c>
      <c r="B8994" t="str">
        <f>"LK5039"</f>
        <v>LK5039</v>
      </c>
      <c r="C8994" t="s">
        <v>8824</v>
      </c>
    </row>
    <row r="8995" spans="1:3" x14ac:dyDescent="0.25">
      <c r="A8995" t="str">
        <f>"0611840320100"</f>
        <v>0611840320100</v>
      </c>
      <c r="B8995" t="str">
        <f>"LK1657"</f>
        <v>LK1657</v>
      </c>
      <c r="C8995" t="s">
        <v>8825</v>
      </c>
    </row>
    <row r="8996" spans="1:3" x14ac:dyDescent="0.25">
      <c r="A8996" t="str">
        <f>"0611840400100"</f>
        <v>0611840400100</v>
      </c>
      <c r="B8996" t="str">
        <f>"LK2937"</f>
        <v>LK2937</v>
      </c>
      <c r="C8996" t="s">
        <v>8826</v>
      </c>
    </row>
    <row r="8997" spans="1:3" x14ac:dyDescent="0.25">
      <c r="A8997" t="str">
        <f>"0611840321100"</f>
        <v>0611840321100</v>
      </c>
      <c r="B8997" t="str">
        <f>"LK3432"</f>
        <v>LK3432</v>
      </c>
      <c r="C8997" t="s">
        <v>8827</v>
      </c>
    </row>
    <row r="8998" spans="1:3" x14ac:dyDescent="0.25">
      <c r="A8998" t="str">
        <f>"0611840411100"</f>
        <v>0611840411100</v>
      </c>
      <c r="B8998" t="str">
        <f>"LK1333"</f>
        <v>LK1333</v>
      </c>
      <c r="C8998" t="s">
        <v>8828</v>
      </c>
    </row>
    <row r="8999" spans="1:3" x14ac:dyDescent="0.25">
      <c r="A8999" t="str">
        <f>"0611840322100"</f>
        <v>0611840322100</v>
      </c>
      <c r="B8999" t="str">
        <f>"LK5509"</f>
        <v>LK5509</v>
      </c>
      <c r="C8999" t="s">
        <v>8829</v>
      </c>
    </row>
    <row r="9000" spans="1:3" x14ac:dyDescent="0.25">
      <c r="A9000" t="str">
        <f>"0611840401100"</f>
        <v>0611840401100</v>
      </c>
      <c r="B9000" t="str">
        <f>"LK1083"</f>
        <v>LK1083</v>
      </c>
      <c r="C9000" t="s">
        <v>13919</v>
      </c>
    </row>
    <row r="9001" spans="1:3" x14ac:dyDescent="0.25">
      <c r="A9001" t="str">
        <f>"0611840413100"</f>
        <v>0611840413100</v>
      </c>
      <c r="B9001" t="str">
        <f>"LK0285"</f>
        <v>LK0285</v>
      </c>
      <c r="C9001" t="s">
        <v>8832</v>
      </c>
    </row>
    <row r="9002" spans="1:3" x14ac:dyDescent="0.25">
      <c r="A9002" t="str">
        <f>"0611840414100"</f>
        <v>0611840414100</v>
      </c>
      <c r="B9002" t="str">
        <f>"LK0286"</f>
        <v>LK0286</v>
      </c>
      <c r="C9002" t="s">
        <v>8833</v>
      </c>
    </row>
    <row r="9003" spans="1:3" x14ac:dyDescent="0.25">
      <c r="A9003" t="str">
        <f>"0611840415100"</f>
        <v>0611840415100</v>
      </c>
      <c r="B9003" t="str">
        <f>"LK0853"</f>
        <v>LK0853</v>
      </c>
      <c r="C9003" t="s">
        <v>8834</v>
      </c>
    </row>
    <row r="9004" spans="1:3" x14ac:dyDescent="0.25">
      <c r="A9004" t="str">
        <f>"0611840416100"</f>
        <v>0611840416100</v>
      </c>
      <c r="B9004" t="str">
        <f>"LK0287"</f>
        <v>LK0287</v>
      </c>
      <c r="C9004" t="s">
        <v>8835</v>
      </c>
    </row>
    <row r="9005" spans="1:3" x14ac:dyDescent="0.25">
      <c r="A9005" t="str">
        <f>"0611840323100"</f>
        <v>0611840323100</v>
      </c>
      <c r="B9005" t="str">
        <f>"LK0854"</f>
        <v>LK0854</v>
      </c>
      <c r="C9005" t="s">
        <v>8836</v>
      </c>
    </row>
    <row r="9006" spans="1:3" x14ac:dyDescent="0.25">
      <c r="A9006" t="str">
        <f>"0611840417100"</f>
        <v>0611840417100</v>
      </c>
      <c r="B9006" t="str">
        <f>"LK3433"</f>
        <v>LK3433</v>
      </c>
      <c r="C9006" t="s">
        <v>8837</v>
      </c>
    </row>
    <row r="9007" spans="1:3" x14ac:dyDescent="0.25">
      <c r="A9007" t="str">
        <f>"0611840418100"</f>
        <v>0611840418100</v>
      </c>
      <c r="B9007" t="str">
        <f>"LK1658"</f>
        <v>LK1658</v>
      </c>
      <c r="C9007" t="s">
        <v>8838</v>
      </c>
    </row>
    <row r="9008" spans="1:3" x14ac:dyDescent="0.25">
      <c r="A9008" t="str">
        <f>"0611840419100"</f>
        <v>0611840419100</v>
      </c>
      <c r="B9008" t="str">
        <f>"LK0288"</f>
        <v>LK0288</v>
      </c>
      <c r="C9008" t="s">
        <v>13920</v>
      </c>
    </row>
    <row r="9009" spans="1:3" x14ac:dyDescent="0.25">
      <c r="A9009" t="str">
        <f>"0611840420100"</f>
        <v>0611840420100</v>
      </c>
      <c r="B9009" t="str">
        <f>"LK0289"</f>
        <v>LK0289</v>
      </c>
      <c r="C9009" t="s">
        <v>8840</v>
      </c>
    </row>
    <row r="9010" spans="1:3" x14ac:dyDescent="0.25">
      <c r="A9010" t="str">
        <f>"0611840402100"</f>
        <v>0611840402100</v>
      </c>
      <c r="B9010" t="str">
        <f>"LB6005"</f>
        <v>LB6005</v>
      </c>
      <c r="C9010" t="s">
        <v>8830</v>
      </c>
    </row>
    <row r="9011" spans="1:3" x14ac:dyDescent="0.25">
      <c r="A9011" t="str">
        <f>"0611840403100"</f>
        <v>0611840403100</v>
      </c>
      <c r="B9011" t="str">
        <f>"LB6004"</f>
        <v>LB6004</v>
      </c>
      <c r="C9011" t="s">
        <v>8831</v>
      </c>
    </row>
    <row r="9012" spans="1:3" x14ac:dyDescent="0.25">
      <c r="A9012" t="str">
        <f>"0611840404100"</f>
        <v>0611840404100</v>
      </c>
      <c r="B9012" t="str">
        <f>"LB6008"</f>
        <v>LB6008</v>
      </c>
      <c r="C9012" t="s">
        <v>8839</v>
      </c>
    </row>
    <row r="9013" spans="1:3" x14ac:dyDescent="0.25">
      <c r="A9013" t="str">
        <f>"0611840421100"</f>
        <v>0611840421100</v>
      </c>
      <c r="B9013" t="str">
        <f>"LK4161"</f>
        <v>LK4161</v>
      </c>
      <c r="C9013" t="s">
        <v>8841</v>
      </c>
    </row>
    <row r="9014" spans="1:3" x14ac:dyDescent="0.25">
      <c r="A9014" t="str">
        <f>"0611840422100"</f>
        <v>0611840422100</v>
      </c>
      <c r="B9014" t="str">
        <f>"LK4157"</f>
        <v>LK4157</v>
      </c>
      <c r="C9014" t="s">
        <v>8842</v>
      </c>
    </row>
    <row r="9015" spans="1:3" x14ac:dyDescent="0.25">
      <c r="A9015" t="str">
        <f>"0611840423100"</f>
        <v>0611840423100</v>
      </c>
      <c r="B9015" t="str">
        <f>"LK4156"</f>
        <v>LK4156</v>
      </c>
      <c r="C9015" t="s">
        <v>8843</v>
      </c>
    </row>
    <row r="9016" spans="1:3" x14ac:dyDescent="0.25">
      <c r="A9016" t="str">
        <f>"0611840424100"</f>
        <v>0611840424100</v>
      </c>
      <c r="B9016" t="str">
        <f>"LK4158"</f>
        <v>LK4158</v>
      </c>
      <c r="C9016" t="s">
        <v>8844</v>
      </c>
    </row>
    <row r="9017" spans="1:3" x14ac:dyDescent="0.25">
      <c r="A9017" t="str">
        <f>"0611840425100"</f>
        <v>0611840425100</v>
      </c>
      <c r="B9017" t="str">
        <f>"LK4410"</f>
        <v>LK4410</v>
      </c>
      <c r="C9017" t="s">
        <v>8845</v>
      </c>
    </row>
    <row r="9018" spans="1:3" x14ac:dyDescent="0.25">
      <c r="A9018" t="str">
        <f>"0611840426100"</f>
        <v>0611840426100</v>
      </c>
      <c r="B9018" t="str">
        <f>"LK4149"</f>
        <v>LK4149</v>
      </c>
      <c r="C9018" t="s">
        <v>8846</v>
      </c>
    </row>
    <row r="9019" spans="1:3" x14ac:dyDescent="0.25">
      <c r="A9019" t="str">
        <f>"0611840427100"</f>
        <v>0611840427100</v>
      </c>
      <c r="B9019" t="str">
        <f>"LK4493"</f>
        <v>LK4493</v>
      </c>
      <c r="C9019" t="s">
        <v>8847</v>
      </c>
    </row>
    <row r="9020" spans="1:3" x14ac:dyDescent="0.25">
      <c r="A9020" t="str">
        <f>"0611840428100"</f>
        <v>0611840428100</v>
      </c>
      <c r="B9020" t="str">
        <f>"LK4159"</f>
        <v>LK4159</v>
      </c>
      <c r="C9020" t="s">
        <v>8848</v>
      </c>
    </row>
    <row r="9021" spans="1:3" x14ac:dyDescent="0.25">
      <c r="A9021" t="str">
        <f>"0611840429100"</f>
        <v>0611840429100</v>
      </c>
      <c r="B9021" t="str">
        <f>"LK4160"</f>
        <v>LK4160</v>
      </c>
      <c r="C9021" t="s">
        <v>8849</v>
      </c>
    </row>
    <row r="9022" spans="1:3" x14ac:dyDescent="0.25">
      <c r="A9022" t="str">
        <f>"0611840430100"</f>
        <v>0611840430100</v>
      </c>
      <c r="B9022" t="str">
        <f>"LK4155"</f>
        <v>LK4155</v>
      </c>
      <c r="C9022" t="s">
        <v>8850</v>
      </c>
    </row>
    <row r="9023" spans="1:3" x14ac:dyDescent="0.25">
      <c r="A9023" t="str">
        <f>"0611840431100"</f>
        <v>0611840431100</v>
      </c>
      <c r="B9023" t="str">
        <f>"LK4154"</f>
        <v>LK4154</v>
      </c>
      <c r="C9023" t="s">
        <v>8851</v>
      </c>
    </row>
    <row r="9024" spans="1:3" x14ac:dyDescent="0.25">
      <c r="A9024" t="str">
        <f>"0611840432100"</f>
        <v>0611840432100</v>
      </c>
      <c r="B9024" t="str">
        <f>"LK4331"</f>
        <v>LK4331</v>
      </c>
      <c r="C9024" t="s">
        <v>8852</v>
      </c>
    </row>
    <row r="9025" spans="1:3" x14ac:dyDescent="0.25">
      <c r="A9025" t="str">
        <f>"0611840433100"</f>
        <v>0611840433100</v>
      </c>
      <c r="B9025" t="str">
        <f>"LK4151"</f>
        <v>LK4151</v>
      </c>
      <c r="C9025" t="s">
        <v>8853</v>
      </c>
    </row>
    <row r="9026" spans="1:3" x14ac:dyDescent="0.25">
      <c r="A9026" t="str">
        <f>"0611840434100"</f>
        <v>0611840434100</v>
      </c>
      <c r="B9026" t="str">
        <f>"LK4162"</f>
        <v>LK4162</v>
      </c>
      <c r="C9026" t="s">
        <v>8854</v>
      </c>
    </row>
    <row r="9027" spans="1:3" x14ac:dyDescent="0.25">
      <c r="A9027" t="str">
        <f>"0611840437100"</f>
        <v>0611840437100</v>
      </c>
      <c r="B9027" t="str">
        <f>"LK4494"</f>
        <v>LK4494</v>
      </c>
      <c r="C9027" t="s">
        <v>8855</v>
      </c>
    </row>
    <row r="9028" spans="1:3" x14ac:dyDescent="0.25">
      <c r="A9028" t="str">
        <f>"0611840438100"</f>
        <v>0611840438100</v>
      </c>
      <c r="B9028" t="str">
        <f>"LK4495"</f>
        <v>LK4495</v>
      </c>
      <c r="C9028" t="s">
        <v>8856</v>
      </c>
    </row>
    <row r="9029" spans="1:3" x14ac:dyDescent="0.25">
      <c r="A9029" t="str">
        <f>"0611840439100"</f>
        <v>0611840439100</v>
      </c>
      <c r="B9029" t="str">
        <f>"LK2716"</f>
        <v>LK2716</v>
      </c>
      <c r="C9029" t="s">
        <v>8857</v>
      </c>
    </row>
    <row r="9030" spans="1:3" x14ac:dyDescent="0.25">
      <c r="A9030" t="str">
        <f>"0611840440100"</f>
        <v>0611840440100</v>
      </c>
      <c r="B9030" t="str">
        <f>"LK5862"</f>
        <v>LK5862</v>
      </c>
      <c r="C9030" t="s">
        <v>8858</v>
      </c>
    </row>
    <row r="9031" spans="1:3" x14ac:dyDescent="0.25">
      <c r="A9031" t="str">
        <f>"0611840441100"</f>
        <v>0611840441100</v>
      </c>
      <c r="B9031" t="str">
        <f>"LK1971"</f>
        <v>LK1971</v>
      </c>
      <c r="C9031" t="s">
        <v>8859</v>
      </c>
    </row>
    <row r="9032" spans="1:3" x14ac:dyDescent="0.25">
      <c r="A9032" t="str">
        <f>"0611840442100"</f>
        <v>0611840442100</v>
      </c>
      <c r="B9032" t="str">
        <f>"LK5041"</f>
        <v>LK5041</v>
      </c>
      <c r="C9032" t="s">
        <v>8860</v>
      </c>
    </row>
    <row r="9033" spans="1:3" x14ac:dyDescent="0.25">
      <c r="A9033" t="str">
        <f>"0611840444100"</f>
        <v>0611840444100</v>
      </c>
      <c r="B9033" t="str">
        <f>"LK5510"</f>
        <v>LK5510</v>
      </c>
      <c r="C9033" t="s">
        <v>8861</v>
      </c>
    </row>
    <row r="9034" spans="1:3" x14ac:dyDescent="0.25">
      <c r="A9034" t="str">
        <f>"0611840445100"</f>
        <v>0611840445100</v>
      </c>
      <c r="B9034" t="str">
        <f>"LK1884"</f>
        <v>LK1884</v>
      </c>
      <c r="C9034" t="s">
        <v>8862</v>
      </c>
    </row>
    <row r="9035" spans="1:3" x14ac:dyDescent="0.25">
      <c r="A9035" t="str">
        <f>"0611840446100"</f>
        <v>0611840446100</v>
      </c>
      <c r="B9035" t="str">
        <f>"LK1972"</f>
        <v>LK1972</v>
      </c>
      <c r="C9035" t="s">
        <v>8863</v>
      </c>
    </row>
    <row r="9036" spans="1:3" x14ac:dyDescent="0.25">
      <c r="A9036" t="str">
        <f>"0611840447100"</f>
        <v>0611840447100</v>
      </c>
      <c r="B9036" t="str">
        <f>"LK4332"</f>
        <v>LK4332</v>
      </c>
      <c r="C9036" t="s">
        <v>8864</v>
      </c>
    </row>
    <row r="9037" spans="1:3" x14ac:dyDescent="0.25">
      <c r="A9037" t="str">
        <f>"0611840448100"</f>
        <v>0611840448100</v>
      </c>
      <c r="B9037" t="str">
        <f>"LK2718"</f>
        <v>LK2718</v>
      </c>
      <c r="C9037" t="s">
        <v>8865</v>
      </c>
    </row>
    <row r="9038" spans="1:3" x14ac:dyDescent="0.25">
      <c r="A9038" t="str">
        <f>"0611840449100"</f>
        <v>0611840449100</v>
      </c>
      <c r="B9038" t="str">
        <f>"LK5044"</f>
        <v>LK5044</v>
      </c>
      <c r="C9038" t="s">
        <v>8866</v>
      </c>
    </row>
    <row r="9039" spans="1:3" x14ac:dyDescent="0.25">
      <c r="A9039" t="str">
        <f>"0611840450100"</f>
        <v>0611840450100</v>
      </c>
      <c r="B9039" t="str">
        <f>"LK2717"</f>
        <v>LK2717</v>
      </c>
      <c r="C9039" t="s">
        <v>8867</v>
      </c>
    </row>
    <row r="9040" spans="1:3" x14ac:dyDescent="0.25">
      <c r="A9040" t="str">
        <f>"0611840451100"</f>
        <v>0611840451100</v>
      </c>
      <c r="B9040" t="str">
        <f>"LK5045"</f>
        <v>LK5045</v>
      </c>
      <c r="C9040" t="s">
        <v>8868</v>
      </c>
    </row>
    <row r="9041" spans="1:3" x14ac:dyDescent="0.25">
      <c r="A9041" t="str">
        <f>"0611840452100"</f>
        <v>0611840452100</v>
      </c>
      <c r="B9041" t="str">
        <f>"LK6098"</f>
        <v>LK6098</v>
      </c>
      <c r="C9041" t="s">
        <v>8869</v>
      </c>
    </row>
    <row r="9042" spans="1:3" x14ac:dyDescent="0.25">
      <c r="A9042" t="str">
        <f>"0611840454100"</f>
        <v>0611840454100</v>
      </c>
      <c r="B9042" t="str">
        <f>"LK4497"</f>
        <v>LK4497</v>
      </c>
      <c r="C9042" t="s">
        <v>8870</v>
      </c>
    </row>
    <row r="9043" spans="1:3" x14ac:dyDescent="0.25">
      <c r="A9043" t="str">
        <f>"0611840455100"</f>
        <v>0611840455100</v>
      </c>
      <c r="B9043" t="str">
        <f>"LK4498"</f>
        <v>LK4498</v>
      </c>
      <c r="C9043" t="s">
        <v>8871</v>
      </c>
    </row>
    <row r="9044" spans="1:3" x14ac:dyDescent="0.25">
      <c r="A9044" t="str">
        <f>"0611840456100"</f>
        <v>0611840456100</v>
      </c>
      <c r="B9044" t="str">
        <f>"LK4499"</f>
        <v>LK4499</v>
      </c>
      <c r="C9044" t="s">
        <v>8872</v>
      </c>
    </row>
    <row r="9045" spans="1:3" x14ac:dyDescent="0.25">
      <c r="A9045" t="str">
        <f>"0611840457100"</f>
        <v>0611840457100</v>
      </c>
      <c r="B9045" t="str">
        <f>"LK5511"</f>
        <v>LK5511</v>
      </c>
      <c r="C9045" t="s">
        <v>8873</v>
      </c>
    </row>
    <row r="9046" spans="1:3" x14ac:dyDescent="0.25">
      <c r="A9046" t="str">
        <f>"0611840458100"</f>
        <v>0611840458100</v>
      </c>
      <c r="B9046" t="str">
        <f>"LK4873"</f>
        <v>LK4873</v>
      </c>
      <c r="C9046" t="s">
        <v>8874</v>
      </c>
    </row>
    <row r="9047" spans="1:3" x14ac:dyDescent="0.25">
      <c r="A9047" t="str">
        <f>"0611840459100"</f>
        <v>0611840459100</v>
      </c>
      <c r="B9047" t="str">
        <f>"LK1885"</f>
        <v>LK1885</v>
      </c>
      <c r="C9047" t="s">
        <v>8875</v>
      </c>
    </row>
    <row r="9048" spans="1:3" x14ac:dyDescent="0.25">
      <c r="A9048" t="str">
        <f>"0611840460100"</f>
        <v>0611840460100</v>
      </c>
      <c r="B9048" t="str">
        <f>"LK4411"</f>
        <v>LK4411</v>
      </c>
      <c r="C9048" t="s">
        <v>8876</v>
      </c>
    </row>
    <row r="9049" spans="1:3" x14ac:dyDescent="0.25">
      <c r="A9049" t="str">
        <f>"0611840461100"</f>
        <v>0611840461100</v>
      </c>
      <c r="B9049" t="str">
        <f>"LK1886"</f>
        <v>LK1886</v>
      </c>
      <c r="C9049" t="s">
        <v>8877</v>
      </c>
    </row>
    <row r="9050" spans="1:3" x14ac:dyDescent="0.25">
      <c r="A9050" t="str">
        <f>"0611840462100"</f>
        <v>0611840462100</v>
      </c>
      <c r="B9050" t="str">
        <f>"LK3437"</f>
        <v>LK3437</v>
      </c>
      <c r="C9050" t="s">
        <v>8878</v>
      </c>
    </row>
    <row r="9051" spans="1:3" x14ac:dyDescent="0.25">
      <c r="A9051" t="str">
        <f>"0611840463100"</f>
        <v>0611840463100</v>
      </c>
      <c r="B9051" t="str">
        <f>"LK1887"</f>
        <v>LK1887</v>
      </c>
      <c r="C9051" t="s">
        <v>8879</v>
      </c>
    </row>
    <row r="9052" spans="1:3" x14ac:dyDescent="0.25">
      <c r="A9052" t="str">
        <f>"0611840464100"</f>
        <v>0611840464100</v>
      </c>
      <c r="B9052" t="str">
        <f>"LK1973"</f>
        <v>LK1973</v>
      </c>
      <c r="C9052" t="s">
        <v>8880</v>
      </c>
    </row>
    <row r="9053" spans="1:3" x14ac:dyDescent="0.25">
      <c r="A9053" t="str">
        <f>"0611840465100"</f>
        <v>0611840465100</v>
      </c>
      <c r="B9053" t="str">
        <f>"LK1888"</f>
        <v>LK1888</v>
      </c>
      <c r="C9053" t="s">
        <v>8881</v>
      </c>
    </row>
    <row r="9054" spans="1:3" x14ac:dyDescent="0.25">
      <c r="A9054" t="str">
        <f>"0611840466100"</f>
        <v>0611840466100</v>
      </c>
      <c r="B9054" t="str">
        <f>"LK5051"</f>
        <v>LK5051</v>
      </c>
      <c r="C9054" t="s">
        <v>8882</v>
      </c>
    </row>
    <row r="9055" spans="1:3" x14ac:dyDescent="0.25">
      <c r="A9055" t="str">
        <f>"0611840467100"</f>
        <v>0611840467100</v>
      </c>
      <c r="B9055" t="str">
        <f>"LK5052"</f>
        <v>LK5052</v>
      </c>
      <c r="C9055" t="s">
        <v>8883</v>
      </c>
    </row>
    <row r="9056" spans="1:3" x14ac:dyDescent="0.25">
      <c r="A9056" t="str">
        <f>"0611840468100"</f>
        <v>0611840468100</v>
      </c>
      <c r="B9056" t="str">
        <f>"LK1889"</f>
        <v>LK1889</v>
      </c>
      <c r="C9056" t="s">
        <v>8884</v>
      </c>
    </row>
    <row r="9057" spans="1:3" x14ac:dyDescent="0.25">
      <c r="A9057" t="str">
        <f>"0611840469100"</f>
        <v>0611840469100</v>
      </c>
      <c r="B9057" t="str">
        <f>"LK1890"</f>
        <v>LK1890</v>
      </c>
      <c r="C9057" t="s">
        <v>8885</v>
      </c>
    </row>
    <row r="9058" spans="1:3" x14ac:dyDescent="0.25">
      <c r="A9058" t="str">
        <f>"0611840470100"</f>
        <v>0611840470100</v>
      </c>
      <c r="B9058" t="str">
        <f>"LK5864"</f>
        <v>LK5864</v>
      </c>
      <c r="C9058" t="s">
        <v>8886</v>
      </c>
    </row>
    <row r="9059" spans="1:3" x14ac:dyDescent="0.25">
      <c r="A9059" t="str">
        <f>"0611840471100"</f>
        <v>0611840471100</v>
      </c>
      <c r="B9059" t="str">
        <f>"LQ3644"</f>
        <v>LQ3644</v>
      </c>
      <c r="C9059" t="s">
        <v>8887</v>
      </c>
    </row>
    <row r="9060" spans="1:3" x14ac:dyDescent="0.25">
      <c r="A9060" t="str">
        <f>"0611840472100"</f>
        <v>0611840472100</v>
      </c>
      <c r="B9060" t="str">
        <f>"LK3914"</f>
        <v>LK3914</v>
      </c>
      <c r="C9060" t="s">
        <v>8888</v>
      </c>
    </row>
    <row r="9061" spans="1:3" x14ac:dyDescent="0.25">
      <c r="A9061" t="str">
        <f>"0611840475100"</f>
        <v>0611840475100</v>
      </c>
      <c r="B9061" t="str">
        <f>"LK3438"</f>
        <v>LK3438</v>
      </c>
      <c r="C9061" t="s">
        <v>8889</v>
      </c>
    </row>
    <row r="9062" spans="1:3" x14ac:dyDescent="0.25">
      <c r="A9062" t="str">
        <f>"0611840476100"</f>
        <v>0611840476100</v>
      </c>
      <c r="B9062" t="str">
        <f>"LK1892"</f>
        <v>LK1892</v>
      </c>
      <c r="C9062" t="s">
        <v>8890</v>
      </c>
    </row>
    <row r="9063" spans="1:3" x14ac:dyDescent="0.25">
      <c r="A9063" t="str">
        <f>"0611840477100"</f>
        <v>0611840477100</v>
      </c>
      <c r="B9063" t="str">
        <f>"LK3915"</f>
        <v>LK3915</v>
      </c>
      <c r="C9063" t="s">
        <v>8891</v>
      </c>
    </row>
    <row r="9064" spans="1:3" x14ac:dyDescent="0.25">
      <c r="A9064" t="str">
        <f>"0611840478100"</f>
        <v>0611840478100</v>
      </c>
      <c r="B9064" t="str">
        <f>"LK3916"</f>
        <v>LK3916</v>
      </c>
      <c r="C9064" t="s">
        <v>8892</v>
      </c>
    </row>
    <row r="9065" spans="1:3" x14ac:dyDescent="0.25">
      <c r="A9065" t="str">
        <f>"0611840479100"</f>
        <v>0611840479100</v>
      </c>
      <c r="B9065" t="str">
        <f>"LK2719"</f>
        <v>LK2719</v>
      </c>
      <c r="C9065" t="s">
        <v>8893</v>
      </c>
    </row>
    <row r="9066" spans="1:3" x14ac:dyDescent="0.25">
      <c r="A9066" t="str">
        <f>"0611840480100"</f>
        <v>0611840480100</v>
      </c>
      <c r="B9066" t="str">
        <f>"LK4501"</f>
        <v>LK4501</v>
      </c>
      <c r="C9066" t="s">
        <v>8894</v>
      </c>
    </row>
    <row r="9067" spans="1:3" x14ac:dyDescent="0.25">
      <c r="A9067" t="str">
        <f>"0611840481100"</f>
        <v>0611840481100</v>
      </c>
      <c r="B9067" t="str">
        <f>"LK4502"</f>
        <v>LK4502</v>
      </c>
      <c r="C9067" t="s">
        <v>8895</v>
      </c>
    </row>
    <row r="9068" spans="1:3" x14ac:dyDescent="0.25">
      <c r="A9068" t="str">
        <f>"0611840482100"</f>
        <v>0611840482100</v>
      </c>
      <c r="B9068" t="str">
        <f>"LK4876"</f>
        <v>LK4876</v>
      </c>
      <c r="C9068" t="s">
        <v>8896</v>
      </c>
    </row>
    <row r="9069" spans="1:3" x14ac:dyDescent="0.25">
      <c r="A9069" t="str">
        <f>"0611840483100"</f>
        <v>0611840483100</v>
      </c>
      <c r="B9069" t="str">
        <f>"LK3439"</f>
        <v>LK3439</v>
      </c>
      <c r="C9069" t="s">
        <v>8897</v>
      </c>
    </row>
    <row r="9070" spans="1:3" x14ac:dyDescent="0.25">
      <c r="A9070" t="str">
        <f>"0611840484100"</f>
        <v>0611840484100</v>
      </c>
      <c r="B9070" t="str">
        <f>"LK5863"</f>
        <v>LK5863</v>
      </c>
      <c r="C9070" t="s">
        <v>8898</v>
      </c>
    </row>
    <row r="9071" spans="1:3" x14ac:dyDescent="0.25">
      <c r="A9071" t="str">
        <f>"0611840486100"</f>
        <v>0611840486100</v>
      </c>
      <c r="B9071" t="str">
        <f>"LK1893"</f>
        <v>LK1893</v>
      </c>
      <c r="C9071" t="s">
        <v>8899</v>
      </c>
    </row>
    <row r="9072" spans="1:3" x14ac:dyDescent="0.25">
      <c r="A9072" t="str">
        <f>"0611840487100"</f>
        <v>0611840487100</v>
      </c>
      <c r="B9072" t="str">
        <f>"LK4504"</f>
        <v>LK4504</v>
      </c>
      <c r="C9072" t="s">
        <v>8900</v>
      </c>
    </row>
    <row r="9073" spans="1:3" x14ac:dyDescent="0.25">
      <c r="A9073" t="str">
        <f>"0611840488100"</f>
        <v>0611840488100</v>
      </c>
      <c r="B9073" t="str">
        <f>"LK4505"</f>
        <v>LK4505</v>
      </c>
      <c r="C9073" t="s">
        <v>8901</v>
      </c>
    </row>
    <row r="9074" spans="1:3" x14ac:dyDescent="0.25">
      <c r="A9074" t="str">
        <f>"0611840489100"</f>
        <v>0611840489100</v>
      </c>
      <c r="B9074" t="str">
        <f>"LK4877"</f>
        <v>LK4877</v>
      </c>
      <c r="C9074" t="s">
        <v>8902</v>
      </c>
    </row>
    <row r="9075" spans="1:3" x14ac:dyDescent="0.25">
      <c r="A9075" t="str">
        <f>"0611840490100"</f>
        <v>0611840490100</v>
      </c>
      <c r="B9075" t="str">
        <f>"LK4878"</f>
        <v>LK4878</v>
      </c>
      <c r="C9075" t="s">
        <v>8903</v>
      </c>
    </row>
    <row r="9076" spans="1:3" x14ac:dyDescent="0.25">
      <c r="A9076" t="str">
        <f>"0611840491100"</f>
        <v>0611840491100</v>
      </c>
      <c r="B9076" t="str">
        <f>"LK1894"</f>
        <v>LK1894</v>
      </c>
      <c r="C9076" t="s">
        <v>8904</v>
      </c>
    </row>
    <row r="9077" spans="1:3" x14ac:dyDescent="0.25">
      <c r="A9077" t="str">
        <f>"0611840492100"</f>
        <v>0611840492100</v>
      </c>
      <c r="B9077" t="str">
        <f>"LK1895"</f>
        <v>LK1895</v>
      </c>
      <c r="C9077" t="s">
        <v>8905</v>
      </c>
    </row>
    <row r="9078" spans="1:3" x14ac:dyDescent="0.25">
      <c r="A9078" t="str">
        <f>"0611840494100"</f>
        <v>0611840494100</v>
      </c>
      <c r="B9078" t="str">
        <f>"LK1896"</f>
        <v>LK1896</v>
      </c>
      <c r="C9078" t="s">
        <v>8906</v>
      </c>
    </row>
    <row r="9079" spans="1:3" x14ac:dyDescent="0.25">
      <c r="A9079" t="str">
        <f>"0611840493100"</f>
        <v>0611840493100</v>
      </c>
      <c r="B9079" t="str">
        <f>"LK6717"</f>
        <v>LK6717</v>
      </c>
      <c r="C9079" t="s">
        <v>8907</v>
      </c>
    </row>
    <row r="9080" spans="1:3" x14ac:dyDescent="0.25">
      <c r="A9080" t="str">
        <f>"0611840495100"</f>
        <v>0611840495100</v>
      </c>
      <c r="B9080" t="str">
        <f>"LK1897"</f>
        <v>LK1897</v>
      </c>
      <c r="C9080" t="s">
        <v>8908</v>
      </c>
    </row>
    <row r="9081" spans="1:3" x14ac:dyDescent="0.25">
      <c r="A9081" t="str">
        <f>"0611840496100"</f>
        <v>0611840496100</v>
      </c>
      <c r="B9081" t="str">
        <f>"LS0091"</f>
        <v>LS0091</v>
      </c>
      <c r="C9081" t="s">
        <v>8909</v>
      </c>
    </row>
    <row r="9082" spans="1:3" x14ac:dyDescent="0.25">
      <c r="A9082" t="str">
        <f>"0611840510100"</f>
        <v>0611840510100</v>
      </c>
      <c r="B9082" t="str">
        <f>"LK1974"</f>
        <v>LK1974</v>
      </c>
      <c r="C9082" t="s">
        <v>8922</v>
      </c>
    </row>
    <row r="9083" spans="1:3" x14ac:dyDescent="0.25">
      <c r="A9083" t="str">
        <f>"0611840513100"</f>
        <v>0611840513100</v>
      </c>
      <c r="B9083" t="str">
        <f>"LK0871"</f>
        <v>LK0871</v>
      </c>
      <c r="C9083" t="s">
        <v>8925</v>
      </c>
    </row>
    <row r="9084" spans="1:3" x14ac:dyDescent="0.25">
      <c r="A9084" t="str">
        <f>"0611840497100"</f>
        <v>0611840497100</v>
      </c>
      <c r="B9084" t="str">
        <f>"LK3918"</f>
        <v>LK3918</v>
      </c>
      <c r="C9084" t="s">
        <v>8910</v>
      </c>
    </row>
    <row r="9085" spans="1:3" x14ac:dyDescent="0.25">
      <c r="A9085" t="str">
        <f>"0611840498100"</f>
        <v>0611840498100</v>
      </c>
      <c r="B9085" t="str">
        <f>"LK3919"</f>
        <v>LK3919</v>
      </c>
      <c r="C9085" t="s">
        <v>8911</v>
      </c>
    </row>
    <row r="9086" spans="1:3" x14ac:dyDescent="0.25">
      <c r="A9086" t="str">
        <f>"0611840499100"</f>
        <v>0611840499100</v>
      </c>
      <c r="B9086" t="str">
        <f>"LK3920"</f>
        <v>LK3920</v>
      </c>
      <c r="C9086" t="s">
        <v>8912</v>
      </c>
    </row>
    <row r="9087" spans="1:3" x14ac:dyDescent="0.25">
      <c r="A9087" t="str">
        <f>"0611840500100"</f>
        <v>0611840500100</v>
      </c>
      <c r="B9087" t="str">
        <f>"LK3922"</f>
        <v>LK3922</v>
      </c>
      <c r="C9087" t="s">
        <v>8913</v>
      </c>
    </row>
    <row r="9088" spans="1:3" x14ac:dyDescent="0.25">
      <c r="A9088" t="str">
        <f>"0611840501100"</f>
        <v>0611840501100</v>
      </c>
      <c r="B9088" t="str">
        <f>"LK3923"</f>
        <v>LK3923</v>
      </c>
      <c r="C9088" t="s">
        <v>8914</v>
      </c>
    </row>
    <row r="9089" spans="1:3" x14ac:dyDescent="0.25">
      <c r="A9089" t="str">
        <f>"0611840502100"</f>
        <v>0611840502100</v>
      </c>
      <c r="B9089" t="str">
        <f>"LK3924"</f>
        <v>LK3924</v>
      </c>
      <c r="C9089" t="s">
        <v>8915</v>
      </c>
    </row>
    <row r="9090" spans="1:3" x14ac:dyDescent="0.25">
      <c r="A9090" t="str">
        <f>"0611840503100"</f>
        <v>0611840503100</v>
      </c>
      <c r="B9090" t="str">
        <f>"LK1335"</f>
        <v>LK1335</v>
      </c>
      <c r="C9090" t="s">
        <v>8916</v>
      </c>
    </row>
    <row r="9091" spans="1:3" x14ac:dyDescent="0.25">
      <c r="A9091" t="str">
        <f>"0611840504100"</f>
        <v>0611840504100</v>
      </c>
      <c r="B9091" t="str">
        <f>"LK3925"</f>
        <v>LK3925</v>
      </c>
      <c r="C9091" t="s">
        <v>8916</v>
      </c>
    </row>
    <row r="9092" spans="1:3" x14ac:dyDescent="0.25">
      <c r="A9092" t="str">
        <f>"0611840506100"</f>
        <v>0611840506100</v>
      </c>
      <c r="B9092" t="str">
        <f>"LK3446"</f>
        <v>LK3446</v>
      </c>
      <c r="C9092" t="s">
        <v>8918</v>
      </c>
    </row>
    <row r="9093" spans="1:3" x14ac:dyDescent="0.25">
      <c r="A9093" t="str">
        <f>"0611840505100"</f>
        <v>0611840505100</v>
      </c>
      <c r="B9093" t="str">
        <f>"LK3927"</f>
        <v>LK3927</v>
      </c>
      <c r="C9093" t="s">
        <v>8917</v>
      </c>
    </row>
    <row r="9094" spans="1:3" x14ac:dyDescent="0.25">
      <c r="A9094" t="str">
        <f>"0611840507100"</f>
        <v>0611840507100</v>
      </c>
      <c r="B9094" t="str">
        <f>"LK3928"</f>
        <v>LK3928</v>
      </c>
      <c r="C9094" t="s">
        <v>8919</v>
      </c>
    </row>
    <row r="9095" spans="1:3" x14ac:dyDescent="0.25">
      <c r="A9095" t="str">
        <f>"0611840508100"</f>
        <v>0611840508100</v>
      </c>
      <c r="B9095" t="str">
        <f>"LK3929"</f>
        <v>LK3929</v>
      </c>
      <c r="C9095" t="s">
        <v>8920</v>
      </c>
    </row>
    <row r="9096" spans="1:3" x14ac:dyDescent="0.25">
      <c r="A9096" t="str">
        <f>"0611840509100"</f>
        <v>0611840509100</v>
      </c>
      <c r="B9096" t="str">
        <f>"LK3930"</f>
        <v>LK3930</v>
      </c>
      <c r="C9096" t="s">
        <v>8921</v>
      </c>
    </row>
    <row r="9097" spans="1:3" x14ac:dyDescent="0.25">
      <c r="A9097" t="str">
        <f>"0611840511100"</f>
        <v>0611840511100</v>
      </c>
      <c r="B9097" t="str">
        <f>"LK3917"</f>
        <v>LK3917</v>
      </c>
      <c r="C9097" t="s">
        <v>8923</v>
      </c>
    </row>
    <row r="9098" spans="1:3" x14ac:dyDescent="0.25">
      <c r="A9098" t="str">
        <f>"0611840512100"</f>
        <v>0611840512100</v>
      </c>
      <c r="B9098" t="str">
        <f>"LK3931"</f>
        <v>LK3931</v>
      </c>
      <c r="C9098" t="s">
        <v>8924</v>
      </c>
    </row>
    <row r="9099" spans="1:3" x14ac:dyDescent="0.25">
      <c r="A9099" t="str">
        <f>"0611840516100"</f>
        <v>0611840516100</v>
      </c>
      <c r="B9099" t="str">
        <f>"LK3933"</f>
        <v>LK3933</v>
      </c>
      <c r="C9099" t="s">
        <v>8927</v>
      </c>
    </row>
    <row r="9100" spans="1:3" x14ac:dyDescent="0.25">
      <c r="A9100" t="str">
        <f>"0611840515100"</f>
        <v>0611840515100</v>
      </c>
      <c r="B9100" t="str">
        <f>"LK3934"</f>
        <v>LK3934</v>
      </c>
      <c r="C9100" t="s">
        <v>8926</v>
      </c>
    </row>
    <row r="9101" spans="1:3" x14ac:dyDescent="0.25">
      <c r="A9101" t="str">
        <f>"0611840517100"</f>
        <v>0611840517100</v>
      </c>
      <c r="B9101" t="str">
        <f>"LK3935"</f>
        <v>LK3935</v>
      </c>
      <c r="C9101" t="s">
        <v>8928</v>
      </c>
    </row>
    <row r="9102" spans="1:3" x14ac:dyDescent="0.25">
      <c r="A9102" t="str">
        <f>"0611840518100"</f>
        <v>0611840518100</v>
      </c>
      <c r="B9102" t="str">
        <f>"LK3936"</f>
        <v>LK3936</v>
      </c>
      <c r="C9102" t="s">
        <v>8929</v>
      </c>
    </row>
    <row r="9103" spans="1:3" x14ac:dyDescent="0.25">
      <c r="A9103" t="str">
        <f>"0611840522100"</f>
        <v>0611840522100</v>
      </c>
      <c r="B9103" t="str">
        <f>"LK3940"</f>
        <v>LK3940</v>
      </c>
      <c r="C9103" t="s">
        <v>8930</v>
      </c>
    </row>
    <row r="9104" spans="1:3" x14ac:dyDescent="0.25">
      <c r="A9104" t="str">
        <f>"0611840525100"</f>
        <v>0611840525100</v>
      </c>
      <c r="B9104" t="str">
        <f>"LK3941"</f>
        <v>LK3941</v>
      </c>
      <c r="C9104" t="s">
        <v>8932</v>
      </c>
    </row>
    <row r="9105" spans="1:3" x14ac:dyDescent="0.25">
      <c r="A9105" t="str">
        <f>"0611840524100"</f>
        <v>0611840524100</v>
      </c>
      <c r="B9105" t="str">
        <f>"LK6009"</f>
        <v>LK6009</v>
      </c>
      <c r="C9105" t="s">
        <v>8931</v>
      </c>
    </row>
    <row r="9106" spans="1:3" x14ac:dyDescent="0.25">
      <c r="A9106" t="str">
        <f>"0611840527100"</f>
        <v>0611840527100</v>
      </c>
      <c r="B9106" t="str">
        <f>"LK3943"</f>
        <v>LK3943</v>
      </c>
      <c r="C9106" t="s">
        <v>8934</v>
      </c>
    </row>
    <row r="9107" spans="1:3" x14ac:dyDescent="0.25">
      <c r="A9107" t="str">
        <f>"0611840526100"</f>
        <v>0611840526100</v>
      </c>
      <c r="B9107" t="str">
        <f>"LK3944"</f>
        <v>LK3944</v>
      </c>
      <c r="C9107" t="s">
        <v>8933</v>
      </c>
    </row>
    <row r="9108" spans="1:3" x14ac:dyDescent="0.25">
      <c r="A9108" t="str">
        <f>"0611840528100"</f>
        <v>0611840528100</v>
      </c>
      <c r="B9108" t="str">
        <f>"LK1976"</f>
        <v>LK1976</v>
      </c>
      <c r="C9108" t="s">
        <v>8935</v>
      </c>
    </row>
    <row r="9109" spans="1:3" x14ac:dyDescent="0.25">
      <c r="A9109" t="str">
        <f>"0611840531100"</f>
        <v>0611840531100</v>
      </c>
      <c r="B9109" t="str">
        <f>"LS0086"</f>
        <v>LS0086</v>
      </c>
      <c r="C9109" t="s">
        <v>8937</v>
      </c>
    </row>
    <row r="9110" spans="1:3" x14ac:dyDescent="0.25">
      <c r="A9110" t="str">
        <f>"0611840529100"</f>
        <v>0611840529100</v>
      </c>
      <c r="B9110" t="str">
        <f>"MB5400"</f>
        <v>MB5400</v>
      </c>
      <c r="C9110" t="s">
        <v>8936</v>
      </c>
    </row>
    <row r="9111" spans="1:3" x14ac:dyDescent="0.25">
      <c r="A9111" t="str">
        <f>"0611840530025"</f>
        <v>0611840530025</v>
      </c>
      <c r="B9111" t="str">
        <f>"MC2304"</f>
        <v>MC2304</v>
      </c>
      <c r="C9111" t="s">
        <v>8763</v>
      </c>
    </row>
    <row r="9112" spans="1:3" x14ac:dyDescent="0.25">
      <c r="A9112" t="str">
        <f>"0611840533100"</f>
        <v>0611840533100</v>
      </c>
      <c r="B9112" t="str">
        <f>"LK3092"</f>
        <v>LK3092</v>
      </c>
      <c r="C9112" t="s">
        <v>8938</v>
      </c>
    </row>
    <row r="9113" spans="1:3" x14ac:dyDescent="0.25">
      <c r="A9113" t="str">
        <f>"0611840534100"</f>
        <v>0611840534100</v>
      </c>
      <c r="B9113" t="str">
        <f>"LK4906"</f>
        <v>LK4906</v>
      </c>
      <c r="C9113" t="s">
        <v>8939</v>
      </c>
    </row>
    <row r="9114" spans="1:3" x14ac:dyDescent="0.25">
      <c r="A9114" t="str">
        <f>"0611840537100"</f>
        <v>0611840537100</v>
      </c>
      <c r="B9114" t="str">
        <f>"LK1447"</f>
        <v>LK1447</v>
      </c>
      <c r="C9114" t="s">
        <v>8940</v>
      </c>
    </row>
    <row r="9115" spans="1:3" x14ac:dyDescent="0.25">
      <c r="A9115" t="str">
        <f>"0611840538100"</f>
        <v>0611840538100</v>
      </c>
      <c r="B9115" t="str">
        <f>"LK6309"</f>
        <v>LK6309</v>
      </c>
      <c r="C9115" t="s">
        <v>8941</v>
      </c>
    </row>
    <row r="9116" spans="1:3" x14ac:dyDescent="0.25">
      <c r="A9116" t="str">
        <f>"0611840539100"</f>
        <v>0611840539100</v>
      </c>
      <c r="B9116" t="str">
        <f>"LB9484"</f>
        <v>LB9484</v>
      </c>
      <c r="C9116" t="s">
        <v>8942</v>
      </c>
    </row>
    <row r="9117" spans="1:3" x14ac:dyDescent="0.25">
      <c r="A9117" t="str">
        <f>"0611840540100"</f>
        <v>0611840540100</v>
      </c>
      <c r="B9117" t="str">
        <f>"LB9406"</f>
        <v>LB9406</v>
      </c>
      <c r="C9117" t="s">
        <v>8943</v>
      </c>
    </row>
    <row r="9118" spans="1:3" x14ac:dyDescent="0.25">
      <c r="A9118" t="str">
        <f>"0611840541100"</f>
        <v>0611840541100</v>
      </c>
      <c r="B9118" t="str">
        <f>"LK4396"</f>
        <v>LK4396</v>
      </c>
      <c r="C9118" t="s">
        <v>8944</v>
      </c>
    </row>
    <row r="9119" spans="1:3" x14ac:dyDescent="0.25">
      <c r="A9119" t="str">
        <f>"0611840542100"</f>
        <v>0611840542100</v>
      </c>
      <c r="B9119" t="str">
        <f>"LK0442"</f>
        <v>LK0442</v>
      </c>
      <c r="C9119" t="s">
        <v>8945</v>
      </c>
    </row>
    <row r="9120" spans="1:3" x14ac:dyDescent="0.25">
      <c r="A9120" t="str">
        <f>"0611840543100"</f>
        <v>0611840543100</v>
      </c>
      <c r="B9120" t="str">
        <f>"LK2468"</f>
        <v>LK2468</v>
      </c>
      <c r="C9120" t="s">
        <v>8946</v>
      </c>
    </row>
    <row r="9121" spans="1:3" x14ac:dyDescent="0.25">
      <c r="A9121" t="str">
        <f>"0611840544100"</f>
        <v>0611840544100</v>
      </c>
      <c r="B9121" t="str">
        <f>"LK4118"</f>
        <v>LK4118</v>
      </c>
      <c r="C9121" t="s">
        <v>8947</v>
      </c>
    </row>
    <row r="9122" spans="1:3" x14ac:dyDescent="0.25">
      <c r="A9122" t="str">
        <f>"0611840545100"</f>
        <v>0611840545100</v>
      </c>
      <c r="B9122" t="str">
        <f>"LK2469"</f>
        <v>LK2469</v>
      </c>
      <c r="C9122" t="s">
        <v>8948</v>
      </c>
    </row>
    <row r="9123" spans="1:3" x14ac:dyDescent="0.25">
      <c r="A9123" t="str">
        <f>"0611840546100"</f>
        <v>0611840546100</v>
      </c>
      <c r="B9123" t="str">
        <f>"LK0443"</f>
        <v>LK0443</v>
      </c>
      <c r="C9123" t="s">
        <v>8949</v>
      </c>
    </row>
    <row r="9124" spans="1:3" x14ac:dyDescent="0.25">
      <c r="A9124" t="str">
        <f>"0611840547100"</f>
        <v>0611840547100</v>
      </c>
      <c r="B9124" t="str">
        <f>"LK3546"</f>
        <v>LK3546</v>
      </c>
      <c r="C9124" t="s">
        <v>8950</v>
      </c>
    </row>
    <row r="9125" spans="1:3" x14ac:dyDescent="0.25">
      <c r="A9125" t="str">
        <f>"0611840548100"</f>
        <v>0611840548100</v>
      </c>
      <c r="B9125" t="str">
        <f>"LK1803"</f>
        <v>LK1803</v>
      </c>
      <c r="C9125" t="s">
        <v>8951</v>
      </c>
    </row>
    <row r="9126" spans="1:3" x14ac:dyDescent="0.25">
      <c r="A9126" t="str">
        <f>"0611840549100"</f>
        <v>0611840549100</v>
      </c>
      <c r="B9126" t="str">
        <f>"LB9448"</f>
        <v>LB9448</v>
      </c>
      <c r="C9126" t="s">
        <v>8952</v>
      </c>
    </row>
    <row r="9127" spans="1:3" x14ac:dyDescent="0.25">
      <c r="A9127" t="str">
        <f>"0611840550100"</f>
        <v>0611840550100</v>
      </c>
      <c r="B9127" t="str">
        <f>"LB9571"</f>
        <v>LB9571</v>
      </c>
      <c r="C9127" t="s">
        <v>8953</v>
      </c>
    </row>
    <row r="9128" spans="1:3" x14ac:dyDescent="0.25">
      <c r="A9128" t="str">
        <f>"0611840552100"</f>
        <v>0611840552100</v>
      </c>
      <c r="B9128" t="str">
        <f>"LK2471"</f>
        <v>LK2471</v>
      </c>
      <c r="C9128" t="s">
        <v>8954</v>
      </c>
    </row>
    <row r="9129" spans="1:3" x14ac:dyDescent="0.25">
      <c r="A9129" t="str">
        <f>"0611840553100"</f>
        <v>0611840553100</v>
      </c>
      <c r="B9129" t="str">
        <f>"LK4397"</f>
        <v>LK4397</v>
      </c>
      <c r="C9129" t="s">
        <v>8955</v>
      </c>
    </row>
    <row r="9130" spans="1:3" x14ac:dyDescent="0.25">
      <c r="A9130" t="str">
        <f>"0611840554100"</f>
        <v>0611840554100</v>
      </c>
      <c r="B9130" t="str">
        <f>"LK4119"</f>
        <v>LK4119</v>
      </c>
      <c r="C9130" t="s">
        <v>8956</v>
      </c>
    </row>
    <row r="9131" spans="1:3" x14ac:dyDescent="0.25">
      <c r="A9131" t="str">
        <f>"0611840555100"</f>
        <v>0611840555100</v>
      </c>
      <c r="B9131" t="str">
        <f>"LB9407"</f>
        <v>LB9407</v>
      </c>
      <c r="C9131" t="s">
        <v>8957</v>
      </c>
    </row>
    <row r="9132" spans="1:3" x14ac:dyDescent="0.25">
      <c r="A9132" t="str">
        <f>"0611840556100"</f>
        <v>0611840556100</v>
      </c>
      <c r="B9132" t="str">
        <f>"LK3732"</f>
        <v>LK3732</v>
      </c>
      <c r="C9132" t="s">
        <v>8958</v>
      </c>
    </row>
    <row r="9133" spans="1:3" x14ac:dyDescent="0.25">
      <c r="A9133" t="str">
        <f>"0611840557100"</f>
        <v>0611840557100</v>
      </c>
      <c r="B9133" t="str">
        <f>"LK4120"</f>
        <v>LK4120</v>
      </c>
      <c r="C9133" t="s">
        <v>8959</v>
      </c>
    </row>
    <row r="9134" spans="1:3" x14ac:dyDescent="0.25">
      <c r="A9134" t="str">
        <f>"0611840559100"</f>
        <v>0611840559100</v>
      </c>
      <c r="B9134" t="str">
        <f>"LK4552"</f>
        <v>LK4552</v>
      </c>
      <c r="C9134" t="s">
        <v>8960</v>
      </c>
    </row>
    <row r="9135" spans="1:3" x14ac:dyDescent="0.25">
      <c r="A9135" t="str">
        <f>"0611840560100"</f>
        <v>0611840560100</v>
      </c>
      <c r="B9135" t="str">
        <f>"LK5976"</f>
        <v>LK5976</v>
      </c>
      <c r="C9135" t="s">
        <v>8961</v>
      </c>
    </row>
    <row r="9136" spans="1:3" x14ac:dyDescent="0.25">
      <c r="A9136" t="str">
        <f>"0611840561100"</f>
        <v>0611840561100</v>
      </c>
      <c r="B9136" t="str">
        <f>"LK3547"</f>
        <v>LK3547</v>
      </c>
      <c r="C9136" t="s">
        <v>8962</v>
      </c>
    </row>
    <row r="9137" spans="1:3" x14ac:dyDescent="0.25">
      <c r="A9137" t="str">
        <f>"0611840562100"</f>
        <v>0611840562100</v>
      </c>
      <c r="B9137" t="str">
        <f>"LK1802"</f>
        <v>LK1802</v>
      </c>
      <c r="C9137" t="s">
        <v>8963</v>
      </c>
    </row>
    <row r="9138" spans="1:3" x14ac:dyDescent="0.25">
      <c r="A9138" t="str">
        <f>"0611840563100"</f>
        <v>0611840563100</v>
      </c>
      <c r="B9138" t="str">
        <f>"LK4121"</f>
        <v>LK4121</v>
      </c>
      <c r="C9138" t="s">
        <v>8964</v>
      </c>
    </row>
    <row r="9139" spans="1:3" x14ac:dyDescent="0.25">
      <c r="A9139" t="str">
        <f>"0611840564100"</f>
        <v>0611840564100</v>
      </c>
      <c r="B9139" t="str">
        <f>"LK4122"</f>
        <v>LK4122</v>
      </c>
      <c r="C9139" t="s">
        <v>8965</v>
      </c>
    </row>
    <row r="9140" spans="1:3" x14ac:dyDescent="0.25">
      <c r="A9140" t="str">
        <f>"0611840565100"</f>
        <v>0611840565100</v>
      </c>
      <c r="B9140" t="str">
        <f>"LK3548"</f>
        <v>LK3548</v>
      </c>
      <c r="C9140" t="s">
        <v>8966</v>
      </c>
    </row>
    <row r="9141" spans="1:3" x14ac:dyDescent="0.25">
      <c r="A9141" t="str">
        <f>"0611840566100"</f>
        <v>0611840566100</v>
      </c>
      <c r="B9141" t="str">
        <f>"LK1045"</f>
        <v>LK1045</v>
      </c>
      <c r="C9141" t="s">
        <v>8967</v>
      </c>
    </row>
    <row r="9142" spans="1:3" x14ac:dyDescent="0.25">
      <c r="A9142" t="str">
        <f>"0611840567100"</f>
        <v>0611840567100</v>
      </c>
      <c r="B9142" t="str">
        <f>"LK6503"</f>
        <v>LK6503</v>
      </c>
      <c r="C9142" t="s">
        <v>8968</v>
      </c>
    </row>
    <row r="9143" spans="1:3" x14ac:dyDescent="0.25">
      <c r="A9143" t="str">
        <f>"0611840569100"</f>
        <v>0611840569100</v>
      </c>
      <c r="B9143" t="str">
        <f>"LK7043"</f>
        <v>LK7043</v>
      </c>
      <c r="C9143" t="s">
        <v>8969</v>
      </c>
    </row>
    <row r="9144" spans="1:3" x14ac:dyDescent="0.25">
      <c r="A9144" t="str">
        <f>"0611840570100"</f>
        <v>0611840570100</v>
      </c>
      <c r="B9144" t="str">
        <f>"LK0444"</f>
        <v>LK0444</v>
      </c>
      <c r="C9144" t="s">
        <v>8970</v>
      </c>
    </row>
    <row r="9145" spans="1:3" x14ac:dyDescent="0.25">
      <c r="A9145" t="str">
        <f>"0611840571100"</f>
        <v>0611840571100</v>
      </c>
      <c r="B9145" t="str">
        <f>"LK4123"</f>
        <v>LK4123</v>
      </c>
      <c r="C9145" t="s">
        <v>8971</v>
      </c>
    </row>
    <row r="9146" spans="1:3" x14ac:dyDescent="0.25">
      <c r="A9146" t="str">
        <f>"0611840572100"</f>
        <v>0611840572100</v>
      </c>
      <c r="B9146" t="str">
        <f>"LK4246"</f>
        <v>LK4246</v>
      </c>
      <c r="C9146" t="s">
        <v>8972</v>
      </c>
    </row>
    <row r="9147" spans="1:3" x14ac:dyDescent="0.25">
      <c r="A9147" t="str">
        <f>"0611840573100"</f>
        <v>0611840573100</v>
      </c>
      <c r="B9147" t="str">
        <f>"LB9573"</f>
        <v>LB9573</v>
      </c>
      <c r="C9147" t="s">
        <v>8973</v>
      </c>
    </row>
    <row r="9148" spans="1:3" x14ac:dyDescent="0.25">
      <c r="A9148" t="str">
        <f>"0611840574100"</f>
        <v>0611840574100</v>
      </c>
      <c r="B9148" t="str">
        <f>"LK1804"</f>
        <v>LK1804</v>
      </c>
      <c r="C9148" t="s">
        <v>8974</v>
      </c>
    </row>
    <row r="9149" spans="1:3" x14ac:dyDescent="0.25">
      <c r="A9149" t="str">
        <f>"0611840577100"</f>
        <v>0611840577100</v>
      </c>
      <c r="B9149" t="str">
        <f>"LK5064"</f>
        <v>LK5064</v>
      </c>
      <c r="C9149" t="s">
        <v>8976</v>
      </c>
    </row>
    <row r="9150" spans="1:3" x14ac:dyDescent="0.25">
      <c r="A9150" t="str">
        <f>"0611840576100"</f>
        <v>0611840576100</v>
      </c>
      <c r="B9150" t="str">
        <f>"LS0093"</f>
        <v>LS0093</v>
      </c>
      <c r="C9150" t="s">
        <v>8975</v>
      </c>
    </row>
    <row r="9151" spans="1:3" x14ac:dyDescent="0.25">
      <c r="A9151" t="str">
        <f>"0611840578100"</f>
        <v>0611840578100</v>
      </c>
      <c r="B9151" t="str">
        <f>"LS0094"</f>
        <v>LS0094</v>
      </c>
      <c r="C9151" t="s">
        <v>8977</v>
      </c>
    </row>
    <row r="9152" spans="1:3" x14ac:dyDescent="0.25">
      <c r="A9152" t="str">
        <f>"0611840583100"</f>
        <v>0611840583100</v>
      </c>
      <c r="B9152" t="str">
        <f>"LK6847"</f>
        <v>LK6847</v>
      </c>
      <c r="C9152" t="s">
        <v>8978</v>
      </c>
    </row>
    <row r="9153" spans="1:3" x14ac:dyDescent="0.25">
      <c r="A9153" t="str">
        <f>"0611840582100"</f>
        <v>0611840582100</v>
      </c>
      <c r="B9153" t="str">
        <f>"LK6718"</f>
        <v>LK6718</v>
      </c>
      <c r="C9153" t="s">
        <v>8979</v>
      </c>
    </row>
    <row r="9154" spans="1:3" x14ac:dyDescent="0.25">
      <c r="A9154" t="str">
        <f>"0611840584100"</f>
        <v>0611840584100</v>
      </c>
      <c r="B9154" t="str">
        <f>"LK6719"</f>
        <v>LK6719</v>
      </c>
      <c r="C9154" t="s">
        <v>8980</v>
      </c>
    </row>
    <row r="9155" spans="1:3" x14ac:dyDescent="0.25">
      <c r="A9155" t="str">
        <f>"0611840585100"</f>
        <v>0611840585100</v>
      </c>
      <c r="B9155" t="str">
        <f>"LK6720"</f>
        <v>LK6720</v>
      </c>
      <c r="C9155" t="s">
        <v>8981</v>
      </c>
    </row>
    <row r="9156" spans="1:3" x14ac:dyDescent="0.25">
      <c r="A9156" t="str">
        <f>"0611840586100"</f>
        <v>0611840586100</v>
      </c>
      <c r="B9156" t="str">
        <f>"LK6721"</f>
        <v>LK6721</v>
      </c>
      <c r="C9156" t="s">
        <v>8982</v>
      </c>
    </row>
    <row r="9157" spans="1:3" x14ac:dyDescent="0.25">
      <c r="A9157" t="str">
        <f>"0611840589100"</f>
        <v>0611840589100</v>
      </c>
      <c r="B9157" t="str">
        <f>"LK6873"</f>
        <v>LK6873</v>
      </c>
      <c r="C9157" t="s">
        <v>8984</v>
      </c>
    </row>
    <row r="9158" spans="1:3" x14ac:dyDescent="0.25">
      <c r="A9158" t="str">
        <f>"0611840587100"</f>
        <v>0611840587100</v>
      </c>
      <c r="B9158" t="str">
        <f>"LK6722"</f>
        <v>LK6722</v>
      </c>
      <c r="C9158" t="s">
        <v>8983</v>
      </c>
    </row>
    <row r="9159" spans="1:3" x14ac:dyDescent="0.25">
      <c r="A9159" t="str">
        <f>"0611840588100"</f>
        <v>0611840588100</v>
      </c>
      <c r="B9159" t="str">
        <f>"LK6723"</f>
        <v>LK6723</v>
      </c>
      <c r="C9159" t="s">
        <v>8985</v>
      </c>
    </row>
    <row r="9160" spans="1:3" x14ac:dyDescent="0.25">
      <c r="A9160" t="str">
        <f>"0611840591025"</f>
        <v>0611840591025</v>
      </c>
      <c r="B9160" t="str">
        <f>"MC1662"</f>
        <v>MC1662</v>
      </c>
      <c r="C9160" t="s">
        <v>8988</v>
      </c>
    </row>
    <row r="9161" spans="1:3" x14ac:dyDescent="0.25">
      <c r="A9161" t="str">
        <f>"0611840592100"</f>
        <v>0611840592100</v>
      </c>
      <c r="B9161" t="str">
        <f>"LS0095"</f>
        <v>LS0095</v>
      </c>
      <c r="C9161" t="s">
        <v>8986</v>
      </c>
    </row>
    <row r="9162" spans="1:3" x14ac:dyDescent="0.25">
      <c r="A9162" t="str">
        <f>"0611840590100"</f>
        <v>0611840590100</v>
      </c>
      <c r="B9162" t="str">
        <f>"LS0096"</f>
        <v>LS0096</v>
      </c>
      <c r="C9162" t="s">
        <v>8987</v>
      </c>
    </row>
    <row r="9163" spans="1:3" x14ac:dyDescent="0.25">
      <c r="A9163" t="str">
        <f>"0611840593100"</f>
        <v>0611840593100</v>
      </c>
      <c r="B9163" t="str">
        <f>"LK5295"</f>
        <v>LK5295</v>
      </c>
      <c r="C9163" t="s">
        <v>8989</v>
      </c>
    </row>
    <row r="9164" spans="1:3" x14ac:dyDescent="0.25">
      <c r="A9164" t="str">
        <f>"0611840595100"</f>
        <v>0611840595100</v>
      </c>
      <c r="B9164" t="str">
        <f>"LK5297"</f>
        <v>LK5297</v>
      </c>
      <c r="C9164" t="s">
        <v>8990</v>
      </c>
    </row>
    <row r="9165" spans="1:3" x14ac:dyDescent="0.25">
      <c r="A9165" t="str">
        <f>"0611857048100"</f>
        <v>0611857048100</v>
      </c>
      <c r="B9165" t="str">
        <f>"LK7096"</f>
        <v>LK7096</v>
      </c>
      <c r="C9165" t="s">
        <v>8991</v>
      </c>
    </row>
    <row r="9166" spans="1:3" x14ac:dyDescent="0.25">
      <c r="A9166" t="str">
        <f>"0611840695100"</f>
        <v>0611840695100</v>
      </c>
      <c r="B9166" t="str">
        <f>"LK0301"</f>
        <v>LK0301</v>
      </c>
      <c r="C9166" t="s">
        <v>13410</v>
      </c>
    </row>
    <row r="9167" spans="1:3" x14ac:dyDescent="0.25">
      <c r="A9167" t="str">
        <f>"0611840697100"</f>
        <v>0611840697100</v>
      </c>
      <c r="B9167" t="str">
        <f>"LK3459"</f>
        <v>LK3459</v>
      </c>
      <c r="C9167" t="s">
        <v>13411</v>
      </c>
    </row>
    <row r="9168" spans="1:3" x14ac:dyDescent="0.25">
      <c r="A9168" t="str">
        <f>"0611840698100"</f>
        <v>0611840698100</v>
      </c>
      <c r="B9168" t="str">
        <f>"LK3947"</f>
        <v>LK3947</v>
      </c>
      <c r="C9168" t="s">
        <v>13412</v>
      </c>
    </row>
    <row r="9169" spans="1:3" x14ac:dyDescent="0.25">
      <c r="A9169" t="str">
        <f>"0611840706100"</f>
        <v>0611840706100</v>
      </c>
      <c r="B9169" t="str">
        <f>"LK1695"</f>
        <v>LK1695</v>
      </c>
      <c r="C9169" t="s">
        <v>13415</v>
      </c>
    </row>
    <row r="9170" spans="1:3" x14ac:dyDescent="0.25">
      <c r="A9170" t="str">
        <f>"0611840707100"</f>
        <v>0611840707100</v>
      </c>
      <c r="B9170" t="str">
        <f>"LK0612"</f>
        <v>LK0612</v>
      </c>
      <c r="C9170" t="s">
        <v>13416</v>
      </c>
    </row>
    <row r="9171" spans="1:3" x14ac:dyDescent="0.25">
      <c r="A9171" t="str">
        <f>"0611840708100"</f>
        <v>0611840708100</v>
      </c>
      <c r="B9171" t="str">
        <f>"LK0613"</f>
        <v>LK0613</v>
      </c>
      <c r="C9171" t="s">
        <v>13417</v>
      </c>
    </row>
    <row r="9172" spans="1:3" x14ac:dyDescent="0.25">
      <c r="A9172" t="str">
        <f>"0611840709100"</f>
        <v>0611840709100</v>
      </c>
      <c r="B9172" t="str">
        <f>"LK0614"</f>
        <v>LK0614</v>
      </c>
      <c r="C9172" t="s">
        <v>13418</v>
      </c>
    </row>
    <row r="9173" spans="1:3" x14ac:dyDescent="0.25">
      <c r="A9173" t="str">
        <f>"0611840710100"</f>
        <v>0611840710100</v>
      </c>
      <c r="B9173" t="str">
        <f>"LK0615"</f>
        <v>LK0615</v>
      </c>
      <c r="C9173" t="s">
        <v>13419</v>
      </c>
    </row>
    <row r="9174" spans="1:3" x14ac:dyDescent="0.25">
      <c r="A9174" t="str">
        <f>"0611840713100"</f>
        <v>0611840713100</v>
      </c>
      <c r="B9174" t="str">
        <f>"LK5065"</f>
        <v>LK5065</v>
      </c>
      <c r="C9174" t="s">
        <v>13423</v>
      </c>
    </row>
    <row r="9175" spans="1:3" x14ac:dyDescent="0.25">
      <c r="A9175" t="str">
        <f>"0611840722100"</f>
        <v>0611840722100</v>
      </c>
      <c r="B9175" t="str">
        <f>"LK5516"</f>
        <v>LK5516</v>
      </c>
      <c r="C9175" t="s">
        <v>13424</v>
      </c>
    </row>
    <row r="9176" spans="1:3" x14ac:dyDescent="0.25">
      <c r="A9176" t="str">
        <f>"0611840720100"</f>
        <v>0611840720100</v>
      </c>
      <c r="B9176" t="str">
        <f>"LK5066"</f>
        <v>LK5066</v>
      </c>
      <c r="C9176" t="s">
        <v>13425</v>
      </c>
    </row>
    <row r="9177" spans="1:3" x14ac:dyDescent="0.25">
      <c r="A9177" t="str">
        <f>"0611837136100"</f>
        <v>0611837136100</v>
      </c>
      <c r="B9177" t="str">
        <f>"LH6781"</f>
        <v>LH6781</v>
      </c>
      <c r="C9177" t="s">
        <v>8992</v>
      </c>
    </row>
    <row r="9178" spans="1:3" x14ac:dyDescent="0.25">
      <c r="A9178" t="str">
        <f>"0611837137025"</f>
        <v>0611837137025</v>
      </c>
      <c r="B9178" t="str">
        <f>"MC0568"</f>
        <v>MC0568</v>
      </c>
      <c r="C9178" t="s">
        <v>8993</v>
      </c>
    </row>
    <row r="9179" spans="1:3" x14ac:dyDescent="0.25">
      <c r="A9179" t="str">
        <f>"0611837138025"</f>
        <v>0611837138025</v>
      </c>
      <c r="B9179" t="str">
        <f>"MC0569"</f>
        <v>MC0569</v>
      </c>
      <c r="C9179" t="s">
        <v>8994</v>
      </c>
    </row>
    <row r="9180" spans="1:3" x14ac:dyDescent="0.25">
      <c r="A9180" t="str">
        <f>"0611837139025"</f>
        <v>0611837139025</v>
      </c>
      <c r="B9180" t="str">
        <f>"MC0570"</f>
        <v>MC0570</v>
      </c>
      <c r="C9180" t="s">
        <v>8995</v>
      </c>
    </row>
    <row r="9181" spans="1:3" x14ac:dyDescent="0.25">
      <c r="A9181" t="str">
        <f>"0611837140100"</f>
        <v>0611837140100</v>
      </c>
      <c r="B9181" t="str">
        <f>"LH6751"</f>
        <v>LH6751</v>
      </c>
      <c r="C9181" t="s">
        <v>8996</v>
      </c>
    </row>
    <row r="9182" spans="1:3" x14ac:dyDescent="0.25">
      <c r="A9182" t="str">
        <f>"0611837141025"</f>
        <v>0611837141025</v>
      </c>
      <c r="B9182" t="str">
        <f>"MC1313"</f>
        <v>MC1313</v>
      </c>
      <c r="C9182" t="s">
        <v>8997</v>
      </c>
    </row>
    <row r="9183" spans="1:3" x14ac:dyDescent="0.25">
      <c r="A9183" t="str">
        <f>"0611837142025"</f>
        <v>0611837142025</v>
      </c>
      <c r="B9183" t="str">
        <f>"MC0567"</f>
        <v>MC0567</v>
      </c>
      <c r="C9183" t="s">
        <v>8998</v>
      </c>
    </row>
    <row r="9184" spans="1:3" x14ac:dyDescent="0.25">
      <c r="A9184" t="str">
        <f>"0611837143100"</f>
        <v>0611837143100</v>
      </c>
      <c r="B9184" t="str">
        <f>"LH6770"</f>
        <v>LH6770</v>
      </c>
      <c r="C9184" t="s">
        <v>8999</v>
      </c>
    </row>
    <row r="9185" spans="1:3" x14ac:dyDescent="0.25">
      <c r="A9185" t="str">
        <f>"0611837145100"</f>
        <v>0611837145100</v>
      </c>
      <c r="B9185" t="str">
        <f>"LH6782"</f>
        <v>LH6782</v>
      </c>
      <c r="C9185" t="s">
        <v>9000</v>
      </c>
    </row>
    <row r="9186" spans="1:3" x14ac:dyDescent="0.25">
      <c r="A9186" t="str">
        <f>"0611837146025"</f>
        <v>0611837146025</v>
      </c>
      <c r="B9186" t="str">
        <f>"MC3780"</f>
        <v>MC3780</v>
      </c>
      <c r="C9186" t="s">
        <v>9001</v>
      </c>
    </row>
    <row r="9187" spans="1:3" x14ac:dyDescent="0.25">
      <c r="A9187" t="str">
        <f>"0611837147025"</f>
        <v>0611837147025</v>
      </c>
      <c r="B9187" t="str">
        <f>"MC0571"</f>
        <v>MC0571</v>
      </c>
      <c r="C9187" t="s">
        <v>9002</v>
      </c>
    </row>
    <row r="9188" spans="1:3" x14ac:dyDescent="0.25">
      <c r="A9188" t="str">
        <f>"0611837148025"</f>
        <v>0611837148025</v>
      </c>
      <c r="B9188" t="str">
        <f>"MC0572"</f>
        <v>MC0572</v>
      </c>
      <c r="C9188" t="s">
        <v>9003</v>
      </c>
    </row>
    <row r="9189" spans="1:3" x14ac:dyDescent="0.25">
      <c r="A9189" t="str">
        <f>"0611837149025"</f>
        <v>0611837149025</v>
      </c>
      <c r="B9189" t="str">
        <f>"MC0573"</f>
        <v>MC0573</v>
      </c>
      <c r="C9189" t="s">
        <v>9004</v>
      </c>
    </row>
    <row r="9190" spans="1:3" x14ac:dyDescent="0.25">
      <c r="A9190" t="str">
        <f>"0611837150100"</f>
        <v>0611837150100</v>
      </c>
      <c r="B9190" t="str">
        <f>"LH6783"</f>
        <v>LH6783</v>
      </c>
      <c r="C9190" t="s">
        <v>9005</v>
      </c>
    </row>
    <row r="9191" spans="1:3" x14ac:dyDescent="0.25">
      <c r="A9191" t="str">
        <f>"0611837151025"</f>
        <v>0611837151025</v>
      </c>
      <c r="B9191" t="str">
        <f>"MC1318"</f>
        <v>MC1318</v>
      </c>
      <c r="C9191" t="s">
        <v>9006</v>
      </c>
    </row>
    <row r="9192" spans="1:3" x14ac:dyDescent="0.25">
      <c r="A9192" t="str">
        <f>"0611837152025"</f>
        <v>0611837152025</v>
      </c>
      <c r="B9192" t="str">
        <f>"MC4228"</f>
        <v>MC4228</v>
      </c>
      <c r="C9192" t="s">
        <v>9007</v>
      </c>
    </row>
    <row r="9193" spans="1:3" x14ac:dyDescent="0.25">
      <c r="A9193" t="str">
        <f>"0611837153025"</f>
        <v>0611837153025</v>
      </c>
      <c r="B9193" t="str">
        <f>"MC4229"</f>
        <v>MC4229</v>
      </c>
      <c r="C9193" t="s">
        <v>9008</v>
      </c>
    </row>
    <row r="9194" spans="1:3" x14ac:dyDescent="0.25">
      <c r="A9194" t="str">
        <f>"0611837154100"</f>
        <v>0611837154100</v>
      </c>
      <c r="B9194" t="str">
        <f>"LH8827"</f>
        <v>LH8827</v>
      </c>
      <c r="C9194" t="s">
        <v>9009</v>
      </c>
    </row>
    <row r="9195" spans="1:3" x14ac:dyDescent="0.25">
      <c r="A9195" t="str">
        <f>"0611837155025"</f>
        <v>0611837155025</v>
      </c>
      <c r="B9195" t="str">
        <f>"MC3778"</f>
        <v>MC3778</v>
      </c>
      <c r="C9195" t="s">
        <v>9010</v>
      </c>
    </row>
    <row r="9196" spans="1:3" x14ac:dyDescent="0.25">
      <c r="A9196" t="str">
        <f>"0611837156025"</f>
        <v>0611837156025</v>
      </c>
      <c r="B9196" t="str">
        <f>"MC4230"</f>
        <v>MC4230</v>
      </c>
      <c r="C9196" t="s">
        <v>9011</v>
      </c>
    </row>
    <row r="9197" spans="1:3" x14ac:dyDescent="0.25">
      <c r="A9197" t="str">
        <f>"0611837157100"</f>
        <v>0611837157100</v>
      </c>
      <c r="B9197" t="str">
        <f>"LH6832"</f>
        <v>LH6832</v>
      </c>
      <c r="C9197" t="s">
        <v>9012</v>
      </c>
    </row>
    <row r="9198" spans="1:3" x14ac:dyDescent="0.25">
      <c r="A9198" t="str">
        <f>"0611837158025"</f>
        <v>0611837158025</v>
      </c>
      <c r="B9198" t="str">
        <f>"MC3779"</f>
        <v>MC3779</v>
      </c>
      <c r="C9198" t="s">
        <v>9013</v>
      </c>
    </row>
    <row r="9199" spans="1:3" x14ac:dyDescent="0.25">
      <c r="A9199" t="str">
        <f>"0611837159025"</f>
        <v>0611837159025</v>
      </c>
      <c r="B9199" t="str">
        <f>"MC3781"</f>
        <v>MC3781</v>
      </c>
      <c r="C9199" t="s">
        <v>9014</v>
      </c>
    </row>
    <row r="9200" spans="1:3" x14ac:dyDescent="0.25">
      <c r="A9200" t="str">
        <f>"0611837500100"</f>
        <v>0611837500100</v>
      </c>
      <c r="B9200" t="str">
        <f>"LL2890"</f>
        <v>LL2890</v>
      </c>
      <c r="C9200" t="s">
        <v>9015</v>
      </c>
    </row>
    <row r="9201" spans="1:3" x14ac:dyDescent="0.25">
      <c r="A9201" t="str">
        <f>"0611837501100"</f>
        <v>0611837501100</v>
      </c>
      <c r="B9201" t="str">
        <f>"LC8555"</f>
        <v>LC8555</v>
      </c>
      <c r="C9201" t="s">
        <v>9016</v>
      </c>
    </row>
    <row r="9202" spans="1:3" x14ac:dyDescent="0.25">
      <c r="A9202" t="str">
        <f>"0611837502200"</f>
        <v>0611837502200</v>
      </c>
      <c r="B9202" t="str">
        <f>"KP8251"</f>
        <v>KP8251</v>
      </c>
      <c r="C9202" t="s">
        <v>9017</v>
      </c>
    </row>
    <row r="9203" spans="1:3" x14ac:dyDescent="0.25">
      <c r="A9203" t="str">
        <f>"0611837503025"</f>
        <v>0611837503025</v>
      </c>
      <c r="B9203" t="str">
        <f>"MC0809"</f>
        <v>MC0809</v>
      </c>
      <c r="C9203" t="s">
        <v>9018</v>
      </c>
    </row>
    <row r="9204" spans="1:3" x14ac:dyDescent="0.25">
      <c r="A9204" t="str">
        <f>"0611837160100"</f>
        <v>0611837160100</v>
      </c>
      <c r="B9204" t="str">
        <f>"LL2900"</f>
        <v>LL2900</v>
      </c>
      <c r="C9204" t="s">
        <v>9019</v>
      </c>
    </row>
    <row r="9205" spans="1:3" x14ac:dyDescent="0.25">
      <c r="A9205" t="str">
        <f>"0611837504100"</f>
        <v>0611837504100</v>
      </c>
      <c r="B9205" t="str">
        <f>"LL2904"</f>
        <v>LL2904</v>
      </c>
      <c r="C9205" t="s">
        <v>9020</v>
      </c>
    </row>
    <row r="9206" spans="1:3" x14ac:dyDescent="0.25">
      <c r="A9206" t="str">
        <f>"0611837505025"</f>
        <v>0611837505025</v>
      </c>
      <c r="B9206" t="str">
        <f>"MC2983"</f>
        <v>MC2983</v>
      </c>
      <c r="C9206" t="s">
        <v>9021</v>
      </c>
    </row>
    <row r="9207" spans="1:3" x14ac:dyDescent="0.25">
      <c r="A9207" t="str">
        <f>"0611837506100"</f>
        <v>0611837506100</v>
      </c>
      <c r="B9207" t="str">
        <f>"LC8550"</f>
        <v>LC8550</v>
      </c>
      <c r="C9207" t="s">
        <v>9022</v>
      </c>
    </row>
    <row r="9208" spans="1:3" x14ac:dyDescent="0.25">
      <c r="A9208" t="str">
        <f>"0611884363025"</f>
        <v>0611884363025</v>
      </c>
      <c r="B9208" t="str">
        <f>"MC4498"</f>
        <v>MC4498</v>
      </c>
      <c r="C9208" t="s">
        <v>9536</v>
      </c>
    </row>
    <row r="9209" spans="1:3" x14ac:dyDescent="0.25">
      <c r="A9209" t="str">
        <f>"0611837507100"</f>
        <v>0611837507100</v>
      </c>
      <c r="B9209" t="str">
        <f>"LC8552"</f>
        <v>LC8552</v>
      </c>
      <c r="C9209" t="s">
        <v>9023</v>
      </c>
    </row>
    <row r="9210" spans="1:3" x14ac:dyDescent="0.25">
      <c r="A9210" t="str">
        <f>"0611837508100"</f>
        <v>0611837508100</v>
      </c>
      <c r="B9210" t="str">
        <f>"LL2913"</f>
        <v>LL2913</v>
      </c>
      <c r="C9210" t="s">
        <v>9024</v>
      </c>
    </row>
    <row r="9211" spans="1:3" x14ac:dyDescent="0.25">
      <c r="A9211" t="str">
        <f>"0611837509200"</f>
        <v>0611837509200</v>
      </c>
      <c r="B9211" t="str">
        <f>"KY2913"</f>
        <v>KY2913</v>
      </c>
      <c r="C9211" t="s">
        <v>9025</v>
      </c>
    </row>
    <row r="9212" spans="1:3" x14ac:dyDescent="0.25">
      <c r="A9212" t="str">
        <f>"0611837510100"</f>
        <v>0611837510100</v>
      </c>
      <c r="B9212" t="str">
        <f>"LL2915"</f>
        <v>LL2915</v>
      </c>
      <c r="C9212" t="s">
        <v>9026</v>
      </c>
    </row>
    <row r="9213" spans="1:3" x14ac:dyDescent="0.25">
      <c r="A9213" t="str">
        <f>"0611837511100"</f>
        <v>0611837511100</v>
      </c>
      <c r="B9213" t="str">
        <f>"LL2925"</f>
        <v>LL2925</v>
      </c>
      <c r="C9213" t="s">
        <v>9027</v>
      </c>
    </row>
    <row r="9214" spans="1:3" x14ac:dyDescent="0.25">
      <c r="A9214" t="str">
        <f>"0611837161100"</f>
        <v>0611837161100</v>
      </c>
      <c r="B9214" t="str">
        <f>"LL2920"</f>
        <v>LL2920</v>
      </c>
      <c r="C9214" t="s">
        <v>9028</v>
      </c>
    </row>
    <row r="9215" spans="1:3" x14ac:dyDescent="0.25">
      <c r="A9215" t="str">
        <f>"0611837512100"</f>
        <v>0611837512100</v>
      </c>
      <c r="B9215" t="str">
        <f>"LC8553"</f>
        <v>LC8553</v>
      </c>
      <c r="C9215" t="s">
        <v>9028</v>
      </c>
    </row>
    <row r="9216" spans="1:3" x14ac:dyDescent="0.25">
      <c r="A9216" t="str">
        <f>"0611837513200"</f>
        <v>0611837513200</v>
      </c>
      <c r="B9216" t="str">
        <f>"KP8200"</f>
        <v>KP8200</v>
      </c>
      <c r="C9216" t="s">
        <v>9029</v>
      </c>
    </row>
    <row r="9217" spans="1:3" x14ac:dyDescent="0.25">
      <c r="A9217" t="str">
        <f>"0611884364100"</f>
        <v>0611884364100</v>
      </c>
      <c r="B9217" t="str">
        <f>"LC8557"</f>
        <v>LC8557</v>
      </c>
      <c r="C9217" t="s">
        <v>9537</v>
      </c>
    </row>
    <row r="9218" spans="1:3" x14ac:dyDescent="0.25">
      <c r="A9218" t="str">
        <f>"0611837162025"</f>
        <v>0611837162025</v>
      </c>
      <c r="B9218" t="str">
        <f>"MC0810"</f>
        <v>MC0810</v>
      </c>
      <c r="C9218" t="s">
        <v>9030</v>
      </c>
    </row>
    <row r="9219" spans="1:3" x14ac:dyDescent="0.25">
      <c r="A9219" t="str">
        <f>"0611837514100"</f>
        <v>0611837514100</v>
      </c>
      <c r="B9219" t="str">
        <f>"LC8554"</f>
        <v>LC8554</v>
      </c>
      <c r="C9219" t="s">
        <v>9031</v>
      </c>
    </row>
    <row r="9220" spans="1:3" x14ac:dyDescent="0.25">
      <c r="A9220" t="str">
        <f>"0611837167025"</f>
        <v>0611837167025</v>
      </c>
      <c r="B9220" t="str">
        <f>"MC2305"</f>
        <v>MC2305</v>
      </c>
      <c r="C9220" t="s">
        <v>9032</v>
      </c>
    </row>
    <row r="9221" spans="1:3" x14ac:dyDescent="0.25">
      <c r="A9221" t="str">
        <f>"0611837168025"</f>
        <v>0611837168025</v>
      </c>
      <c r="B9221" t="str">
        <f>"MC2864"</f>
        <v>MC2864</v>
      </c>
      <c r="C9221" t="s">
        <v>9033</v>
      </c>
    </row>
    <row r="9222" spans="1:3" x14ac:dyDescent="0.25">
      <c r="A9222" t="str">
        <f>"0611906867100"</f>
        <v>0611906867100</v>
      </c>
      <c r="B9222" t="str">
        <f>"LL8350"</f>
        <v>LL8350</v>
      </c>
      <c r="C9222" t="s">
        <v>9034</v>
      </c>
    </row>
    <row r="9223" spans="1:3" x14ac:dyDescent="0.25">
      <c r="A9223" t="str">
        <f>"0611838499100"</f>
        <v>0611838499100</v>
      </c>
      <c r="B9223" t="str">
        <f>"LL2954"</f>
        <v>LL2954</v>
      </c>
      <c r="C9223" t="s">
        <v>9036</v>
      </c>
    </row>
    <row r="9224" spans="1:3" x14ac:dyDescent="0.25">
      <c r="A9224" t="str">
        <f>"0611838498100"</f>
        <v>0611838498100</v>
      </c>
      <c r="B9224" t="str">
        <f>"LL8212"</f>
        <v>LL8212</v>
      </c>
      <c r="C9224" t="s">
        <v>9037</v>
      </c>
    </row>
    <row r="9225" spans="1:3" x14ac:dyDescent="0.25">
      <c r="A9225" t="str">
        <f>"0611838496100"</f>
        <v>0611838496100</v>
      </c>
      <c r="B9225" t="str">
        <f>"LL8330"</f>
        <v>LL8330</v>
      </c>
      <c r="C9225" t="s">
        <v>9038</v>
      </c>
    </row>
    <row r="9226" spans="1:3" x14ac:dyDescent="0.25">
      <c r="A9226" t="str">
        <f>"0611838500100"</f>
        <v>0611838500100</v>
      </c>
      <c r="B9226" t="str">
        <f>"LL0172"</f>
        <v>LL0172</v>
      </c>
      <c r="C9226" t="s">
        <v>9039</v>
      </c>
    </row>
    <row r="9227" spans="1:3" x14ac:dyDescent="0.25">
      <c r="A9227" t="str">
        <f>"0611857049100"</f>
        <v>0611857049100</v>
      </c>
      <c r="B9227" t="str">
        <f>"LL5042"</f>
        <v>LL5042</v>
      </c>
      <c r="C9227" t="s">
        <v>9035</v>
      </c>
    </row>
    <row r="9228" spans="1:3" x14ac:dyDescent="0.25">
      <c r="A9228" t="str">
        <f>"0611838501100"</f>
        <v>0611838501100</v>
      </c>
      <c r="B9228" t="str">
        <f>"LL2955"</f>
        <v>LL2955</v>
      </c>
      <c r="C9228" t="s">
        <v>9040</v>
      </c>
    </row>
    <row r="9229" spans="1:3" x14ac:dyDescent="0.25">
      <c r="A9229" t="str">
        <f>"0611838502100"</f>
        <v>0611838502100</v>
      </c>
      <c r="B9229" t="str">
        <f>"LL2950"</f>
        <v>LL2950</v>
      </c>
      <c r="C9229" t="s">
        <v>9041</v>
      </c>
    </row>
    <row r="9230" spans="1:3" x14ac:dyDescent="0.25">
      <c r="A9230" t="str">
        <f>"0611838503100"</f>
        <v>0611838503100</v>
      </c>
      <c r="B9230" t="str">
        <f>"LL8049"</f>
        <v>LL8049</v>
      </c>
      <c r="C9230" t="s">
        <v>9042</v>
      </c>
    </row>
    <row r="9231" spans="1:3" x14ac:dyDescent="0.25">
      <c r="A9231" t="str">
        <f>"0611838504100"</f>
        <v>0611838504100</v>
      </c>
      <c r="B9231" t="str">
        <f>"LL8213"</f>
        <v>LL8213</v>
      </c>
      <c r="C9231" t="s">
        <v>9043</v>
      </c>
    </row>
    <row r="9232" spans="1:3" x14ac:dyDescent="0.25">
      <c r="A9232" t="str">
        <f>"0611834800025"</f>
        <v>0611834800025</v>
      </c>
      <c r="B9232" t="str">
        <f>"MC0577"</f>
        <v>MC0577</v>
      </c>
      <c r="C9232" t="s">
        <v>9045</v>
      </c>
    </row>
    <row r="9233" spans="1:3" x14ac:dyDescent="0.25">
      <c r="A9233" t="str">
        <f>"0611834801025"</f>
        <v>0611834801025</v>
      </c>
      <c r="B9233" t="str">
        <f>"MQ0140"</f>
        <v>MQ0140</v>
      </c>
      <c r="C9233" t="s">
        <v>9046</v>
      </c>
    </row>
    <row r="9234" spans="1:3" x14ac:dyDescent="0.25">
      <c r="A9234" t="str">
        <f>"0611834802100"</f>
        <v>0611834802100</v>
      </c>
      <c r="B9234" t="str">
        <f>"LK6242"</f>
        <v>LK6242</v>
      </c>
      <c r="C9234" t="s">
        <v>9047</v>
      </c>
    </row>
    <row r="9235" spans="1:3" x14ac:dyDescent="0.25">
      <c r="A9235" t="str">
        <f>"0611834803100"</f>
        <v>0611834803100</v>
      </c>
      <c r="B9235" t="str">
        <f>"LH6151"</f>
        <v>LH6151</v>
      </c>
      <c r="C9235" t="s">
        <v>9048</v>
      </c>
    </row>
    <row r="9236" spans="1:3" x14ac:dyDescent="0.25">
      <c r="A9236" t="str">
        <f>"0611834804025"</f>
        <v>0611834804025</v>
      </c>
      <c r="B9236" t="str">
        <f>"MQ3019"</f>
        <v>MQ3019</v>
      </c>
      <c r="C9236" t="s">
        <v>9049</v>
      </c>
    </row>
    <row r="9237" spans="1:3" x14ac:dyDescent="0.25">
      <c r="A9237" t="str">
        <f>"0611834805100"</f>
        <v>0611834805100</v>
      </c>
      <c r="B9237" t="str">
        <f>"LH6150"</f>
        <v>LH6150</v>
      </c>
      <c r="C9237" t="s">
        <v>9050</v>
      </c>
    </row>
    <row r="9238" spans="1:3" x14ac:dyDescent="0.25">
      <c r="A9238" t="str">
        <f>"0611834806100"</f>
        <v>0611834806100</v>
      </c>
      <c r="B9238" t="str">
        <f>"LS0020"</f>
        <v>LS0020</v>
      </c>
      <c r="C9238" t="s">
        <v>9051</v>
      </c>
    </row>
    <row r="9239" spans="1:3" x14ac:dyDescent="0.25">
      <c r="A9239" t="str">
        <f>"0611834807025"</f>
        <v>0611834807025</v>
      </c>
      <c r="B9239" t="str">
        <f>"MC4332"</f>
        <v>MC4332</v>
      </c>
      <c r="C9239" t="s">
        <v>9052</v>
      </c>
    </row>
    <row r="9240" spans="1:3" x14ac:dyDescent="0.25">
      <c r="A9240" t="str">
        <f>"0611834809025"</f>
        <v>0611834809025</v>
      </c>
      <c r="B9240" t="str">
        <f>"MC0578"</f>
        <v>MC0578</v>
      </c>
      <c r="C9240" t="s">
        <v>9053</v>
      </c>
    </row>
    <row r="9241" spans="1:3" x14ac:dyDescent="0.25">
      <c r="A9241" t="str">
        <f>"0611834810100"</f>
        <v>0611834810100</v>
      </c>
      <c r="B9241" t="str">
        <f>"LK4424"</f>
        <v>LK4424</v>
      </c>
      <c r="C9241" t="s">
        <v>9054</v>
      </c>
    </row>
    <row r="9242" spans="1:3" x14ac:dyDescent="0.25">
      <c r="A9242" t="str">
        <f>"0611834811100"</f>
        <v>0611834811100</v>
      </c>
      <c r="B9242" t="str">
        <f>"LK4426"</f>
        <v>LK4426</v>
      </c>
      <c r="C9242" t="s">
        <v>9055</v>
      </c>
    </row>
    <row r="9243" spans="1:3" x14ac:dyDescent="0.25">
      <c r="A9243" t="str">
        <f>"0611834812025"</f>
        <v>0611834812025</v>
      </c>
      <c r="B9243" t="str">
        <f>"MC2652"</f>
        <v>MC2652</v>
      </c>
      <c r="C9243" t="s">
        <v>9056</v>
      </c>
    </row>
    <row r="9244" spans="1:3" x14ac:dyDescent="0.25">
      <c r="A9244" t="str">
        <f>"0611834813025"</f>
        <v>0611834813025</v>
      </c>
      <c r="B9244" t="str">
        <f>"MC0579"</f>
        <v>MC0579</v>
      </c>
      <c r="C9244" t="s">
        <v>9057</v>
      </c>
    </row>
    <row r="9245" spans="1:3" x14ac:dyDescent="0.25">
      <c r="A9245" t="str">
        <f>"0611834815100"</f>
        <v>0611834815100</v>
      </c>
      <c r="B9245" t="str">
        <f>"LK6243"</f>
        <v>LK6243</v>
      </c>
      <c r="C9245" t="s">
        <v>9058</v>
      </c>
    </row>
    <row r="9246" spans="1:3" x14ac:dyDescent="0.25">
      <c r="A9246" t="str">
        <f>"0611834816025"</f>
        <v>0611834816025</v>
      </c>
      <c r="B9246" t="str">
        <f>"MC2653"</f>
        <v>MC2653</v>
      </c>
      <c r="C9246" t="s">
        <v>9059</v>
      </c>
    </row>
    <row r="9247" spans="1:3" x14ac:dyDescent="0.25">
      <c r="A9247" t="str">
        <f>"0611834817100"</f>
        <v>0611834817100</v>
      </c>
      <c r="B9247" t="str">
        <f>"LK0598"</f>
        <v>LK0598</v>
      </c>
      <c r="C9247" t="s">
        <v>9060</v>
      </c>
    </row>
    <row r="9248" spans="1:3" x14ac:dyDescent="0.25">
      <c r="A9248" t="str">
        <f>"0611834818025"</f>
        <v>0611834818025</v>
      </c>
      <c r="B9248" t="str">
        <f>"MC1663"</f>
        <v>MC1663</v>
      </c>
      <c r="C9248" t="s">
        <v>9061</v>
      </c>
    </row>
    <row r="9249" spans="1:3" x14ac:dyDescent="0.25">
      <c r="A9249" t="str">
        <f>"0611834819025"</f>
        <v>0611834819025</v>
      </c>
      <c r="B9249" t="str">
        <f>"MC1610"</f>
        <v>MC1610</v>
      </c>
      <c r="C9249" t="s">
        <v>9062</v>
      </c>
    </row>
    <row r="9250" spans="1:3" x14ac:dyDescent="0.25">
      <c r="A9250" t="str">
        <f>"0611834820025"</f>
        <v>0611834820025</v>
      </c>
      <c r="B9250" t="str">
        <f>"MC0760"</f>
        <v>MC0760</v>
      </c>
      <c r="C9250" t="s">
        <v>9063</v>
      </c>
    </row>
    <row r="9251" spans="1:3" x14ac:dyDescent="0.25">
      <c r="A9251" t="str">
        <f>"0611834821025"</f>
        <v>0611834821025</v>
      </c>
      <c r="B9251" t="str">
        <f>"MQ0141"</f>
        <v>MQ0141</v>
      </c>
      <c r="C9251" t="s">
        <v>9064</v>
      </c>
    </row>
    <row r="9252" spans="1:3" x14ac:dyDescent="0.25">
      <c r="A9252" t="str">
        <f>"0611906868025"</f>
        <v>0611906868025</v>
      </c>
      <c r="B9252" t="str">
        <f>"MQ7551"</f>
        <v>MQ7551</v>
      </c>
      <c r="C9252" t="s">
        <v>9065</v>
      </c>
    </row>
    <row r="9253" spans="1:3" x14ac:dyDescent="0.25">
      <c r="A9253" t="str">
        <f>"0611837319100"</f>
        <v>0611837319100</v>
      </c>
      <c r="B9253" t="str">
        <f>"LK5518"</f>
        <v>LK5518</v>
      </c>
      <c r="C9253" t="s">
        <v>9066</v>
      </c>
    </row>
    <row r="9254" spans="1:3" x14ac:dyDescent="0.25">
      <c r="A9254" t="str">
        <f>"0611837320025"</f>
        <v>0611837320025</v>
      </c>
      <c r="B9254" t="str">
        <f>"MC3782"</f>
        <v>MC3782</v>
      </c>
      <c r="C9254" t="s">
        <v>9067</v>
      </c>
    </row>
    <row r="9255" spans="1:3" x14ac:dyDescent="0.25">
      <c r="A9255" t="str">
        <f>"0611837321025"</f>
        <v>0611837321025</v>
      </c>
      <c r="B9255" t="str">
        <f>"MC3425"</f>
        <v>MC3425</v>
      </c>
      <c r="C9255" t="s">
        <v>9068</v>
      </c>
    </row>
    <row r="9256" spans="1:3" x14ac:dyDescent="0.25">
      <c r="A9256" t="str">
        <f>"0611837322025"</f>
        <v>0611837322025</v>
      </c>
      <c r="B9256" t="str">
        <f>"MC3859"</f>
        <v>MC3859</v>
      </c>
      <c r="C9256" t="s">
        <v>9069</v>
      </c>
    </row>
    <row r="9257" spans="1:3" x14ac:dyDescent="0.25">
      <c r="A9257" t="str">
        <f>"0611837324025"</f>
        <v>0611837324025</v>
      </c>
      <c r="B9257" t="str">
        <f>"MQ6059"</f>
        <v>MQ6059</v>
      </c>
      <c r="C9257" t="s">
        <v>9070</v>
      </c>
    </row>
    <row r="9258" spans="1:3" x14ac:dyDescent="0.25">
      <c r="A9258" t="str">
        <f>"0611837325025"</f>
        <v>0611837325025</v>
      </c>
      <c r="B9258" t="str">
        <f>"MQ3177"</f>
        <v>MQ3177</v>
      </c>
      <c r="C9258" t="s">
        <v>9071</v>
      </c>
    </row>
    <row r="9259" spans="1:3" x14ac:dyDescent="0.25">
      <c r="A9259" t="str">
        <f>"0611863388050"</f>
        <v>0611863388050</v>
      </c>
      <c r="B9259" t="str">
        <f>"CR3937"</f>
        <v>CR3937</v>
      </c>
      <c r="C9259" t="s">
        <v>9073</v>
      </c>
    </row>
    <row r="9260" spans="1:3" x14ac:dyDescent="0.25">
      <c r="A9260" t="str">
        <f>"0611837326025"</f>
        <v>0611837326025</v>
      </c>
      <c r="B9260" t="str">
        <f>"MQ6060"</f>
        <v>MQ6060</v>
      </c>
      <c r="C9260" t="s">
        <v>9072</v>
      </c>
    </row>
    <row r="9261" spans="1:3" x14ac:dyDescent="0.25">
      <c r="A9261" t="str">
        <f>"0611863389050"</f>
        <v>0611863389050</v>
      </c>
      <c r="B9261" t="str">
        <f>"CR3938"</f>
        <v>CR3938</v>
      </c>
      <c r="C9261" t="s">
        <v>9074</v>
      </c>
    </row>
    <row r="9262" spans="1:3" x14ac:dyDescent="0.25">
      <c r="A9262" t="str">
        <f>"0611837328025"</f>
        <v>0611837328025</v>
      </c>
      <c r="B9262" t="str">
        <f>"MQ0309"</f>
        <v>MQ0309</v>
      </c>
      <c r="C9262" t="s">
        <v>9075</v>
      </c>
    </row>
    <row r="9263" spans="1:3" x14ac:dyDescent="0.25">
      <c r="A9263" t="str">
        <f>"0611837329025"</f>
        <v>0611837329025</v>
      </c>
      <c r="B9263" t="str">
        <f>"MC2610"</f>
        <v>MC2610</v>
      </c>
      <c r="C9263" t="s">
        <v>9076</v>
      </c>
    </row>
    <row r="9264" spans="1:3" x14ac:dyDescent="0.25">
      <c r="A9264" t="str">
        <f>"0611857050025"</f>
        <v>0611857050025</v>
      </c>
      <c r="B9264" t="str">
        <f>"MQ0799"</f>
        <v>MQ0799</v>
      </c>
      <c r="C9264" t="s">
        <v>9077</v>
      </c>
    </row>
    <row r="9265" spans="1:3" x14ac:dyDescent="0.25">
      <c r="A9265" t="str">
        <f>"0611837330025"</f>
        <v>0611837330025</v>
      </c>
      <c r="B9265" t="str">
        <f>"MC3783"</f>
        <v>MC3783</v>
      </c>
      <c r="C9265" t="s">
        <v>9078</v>
      </c>
    </row>
    <row r="9266" spans="1:3" x14ac:dyDescent="0.25">
      <c r="A9266" t="str">
        <f>"0611884342025"</f>
        <v>0611884342025</v>
      </c>
      <c r="B9266" t="str">
        <f>"MQ0836"</f>
        <v>MQ0836</v>
      </c>
      <c r="C9266" t="s">
        <v>9079</v>
      </c>
    </row>
    <row r="9267" spans="1:3" x14ac:dyDescent="0.25">
      <c r="A9267" t="str">
        <f>"0611884343025"</f>
        <v>0611884343025</v>
      </c>
      <c r="B9267" t="str">
        <f>"MQ0837"</f>
        <v>MQ0837</v>
      </c>
      <c r="C9267" t="s">
        <v>9080</v>
      </c>
    </row>
    <row r="9268" spans="1:3" x14ac:dyDescent="0.25">
      <c r="A9268" t="str">
        <f>"0611884344025"</f>
        <v>0611884344025</v>
      </c>
      <c r="B9268" t="str">
        <f>"MQ0838"</f>
        <v>MQ0838</v>
      </c>
      <c r="C9268" t="s">
        <v>9081</v>
      </c>
    </row>
    <row r="9269" spans="1:3" x14ac:dyDescent="0.25">
      <c r="A9269" t="str">
        <f>"0611884345025"</f>
        <v>0611884345025</v>
      </c>
      <c r="B9269" t="str">
        <f>"MQ0839"</f>
        <v>MQ0839</v>
      </c>
      <c r="C9269" t="s">
        <v>9082</v>
      </c>
    </row>
    <row r="9270" spans="1:3" x14ac:dyDescent="0.25">
      <c r="A9270" t="str">
        <f>"0611837331100"</f>
        <v>0611837331100</v>
      </c>
      <c r="B9270" t="str">
        <f>"LH6377"</f>
        <v>LH6377</v>
      </c>
      <c r="C9270" t="s">
        <v>9083</v>
      </c>
    </row>
    <row r="9271" spans="1:3" x14ac:dyDescent="0.25">
      <c r="A9271" t="str">
        <f>"0611837332025"</f>
        <v>0611837332025</v>
      </c>
      <c r="B9271" t="str">
        <f>"MC0581"</f>
        <v>MC0581</v>
      </c>
      <c r="C9271" t="s">
        <v>9084</v>
      </c>
    </row>
    <row r="9272" spans="1:3" x14ac:dyDescent="0.25">
      <c r="A9272" t="str">
        <f>"0611906869025"</f>
        <v>0611906869025</v>
      </c>
      <c r="B9272" t="str">
        <f>"MQ7604"</f>
        <v>MQ7604</v>
      </c>
      <c r="C9272" t="s">
        <v>9085</v>
      </c>
    </row>
    <row r="9273" spans="1:3" x14ac:dyDescent="0.25">
      <c r="A9273" t="str">
        <f>"0611906870025"</f>
        <v>0611906870025</v>
      </c>
      <c r="B9273" t="str">
        <f>"MQ7605"</f>
        <v>MQ7605</v>
      </c>
      <c r="C9273" t="s">
        <v>9086</v>
      </c>
    </row>
    <row r="9274" spans="1:3" x14ac:dyDescent="0.25">
      <c r="A9274" t="str">
        <f>"0611906871025"</f>
        <v>0611906871025</v>
      </c>
      <c r="B9274" t="str">
        <f>"MQ7606"</f>
        <v>MQ7606</v>
      </c>
      <c r="C9274" t="s">
        <v>9087</v>
      </c>
    </row>
    <row r="9275" spans="1:3" x14ac:dyDescent="0.25">
      <c r="A9275" t="str">
        <f>"0611837337100"</f>
        <v>0611837337100</v>
      </c>
      <c r="B9275" t="str">
        <f>"LK6417"</f>
        <v>LK6417</v>
      </c>
      <c r="C9275" t="s">
        <v>9088</v>
      </c>
    </row>
    <row r="9276" spans="1:3" x14ac:dyDescent="0.25">
      <c r="A9276" t="str">
        <f>"0611837338100"</f>
        <v>0611837338100</v>
      </c>
      <c r="B9276" t="str">
        <f>"LK6418"</f>
        <v>LK6418</v>
      </c>
      <c r="C9276" t="s">
        <v>9089</v>
      </c>
    </row>
    <row r="9277" spans="1:3" x14ac:dyDescent="0.25">
      <c r="A9277" t="str">
        <f>"0611863390100"</f>
        <v>0611863390100</v>
      </c>
      <c r="B9277" t="str">
        <f>"CN5288"</f>
        <v>CN5288</v>
      </c>
      <c r="C9277" t="s">
        <v>9090</v>
      </c>
    </row>
    <row r="9278" spans="1:3" x14ac:dyDescent="0.25">
      <c r="A9278" t="str">
        <f>"0611863392100"</f>
        <v>0611863392100</v>
      </c>
      <c r="B9278" t="str">
        <f>"CN5289"</f>
        <v>CN5289</v>
      </c>
      <c r="C9278" t="s">
        <v>9091</v>
      </c>
    </row>
    <row r="9279" spans="1:3" x14ac:dyDescent="0.25">
      <c r="A9279" t="str">
        <f>"0611893641100"</f>
        <v>0611893641100</v>
      </c>
      <c r="B9279" t="str">
        <f>"CN5449"</f>
        <v>CN5449</v>
      </c>
      <c r="C9279" t="s">
        <v>9092</v>
      </c>
    </row>
    <row r="9280" spans="1:3" x14ac:dyDescent="0.25">
      <c r="A9280" t="str">
        <f>"0611863394100"</f>
        <v>0611863394100</v>
      </c>
      <c r="B9280" t="str">
        <f>"CN2314"</f>
        <v>CN2314</v>
      </c>
      <c r="C9280" t="s">
        <v>9093</v>
      </c>
    </row>
    <row r="9281" spans="1:3" x14ac:dyDescent="0.25">
      <c r="A9281" t="str">
        <f>"0611863395100"</f>
        <v>0611863395100</v>
      </c>
      <c r="B9281" t="str">
        <f>"CN5290"</f>
        <v>CN5290</v>
      </c>
      <c r="C9281" t="s">
        <v>9094</v>
      </c>
    </row>
    <row r="9282" spans="1:3" x14ac:dyDescent="0.25">
      <c r="A9282" t="str">
        <f>"0611863397100"</f>
        <v>0611863397100</v>
      </c>
      <c r="B9282" t="str">
        <f>"CN5291"</f>
        <v>CN5291</v>
      </c>
      <c r="C9282" t="s">
        <v>9095</v>
      </c>
    </row>
    <row r="9283" spans="1:3" x14ac:dyDescent="0.25">
      <c r="A9283" t="str">
        <f>"0611863399050"</f>
        <v>0611863399050</v>
      </c>
      <c r="B9283" t="str">
        <f>"CE0486"</f>
        <v>CE0486</v>
      </c>
      <c r="C9283" t="s">
        <v>9096</v>
      </c>
    </row>
    <row r="9284" spans="1:3" x14ac:dyDescent="0.25">
      <c r="A9284" t="str">
        <f>"0611863400050"</f>
        <v>0611863400050</v>
      </c>
      <c r="B9284" t="str">
        <f>"CE0487"</f>
        <v>CE0487</v>
      </c>
      <c r="C9284" t="s">
        <v>9097</v>
      </c>
    </row>
    <row r="9285" spans="1:3" x14ac:dyDescent="0.25">
      <c r="A9285" t="str">
        <f>"0611837343025"</f>
        <v>0611837343025</v>
      </c>
      <c r="B9285" t="str">
        <f>"MC0582"</f>
        <v>MC0582</v>
      </c>
      <c r="C9285" t="s">
        <v>9098</v>
      </c>
    </row>
    <row r="9286" spans="1:3" x14ac:dyDescent="0.25">
      <c r="A9286" t="str">
        <f>"0611863405100"</f>
        <v>0611863405100</v>
      </c>
      <c r="B9286" t="str">
        <f>"CN5283"</f>
        <v>CN5283</v>
      </c>
      <c r="C9286" t="s">
        <v>9099</v>
      </c>
    </row>
    <row r="9287" spans="1:3" x14ac:dyDescent="0.25">
      <c r="A9287" t="str">
        <f>"0611863406100"</f>
        <v>0611863406100</v>
      </c>
      <c r="B9287" t="str">
        <f>"CN5284"</f>
        <v>CN5284</v>
      </c>
      <c r="C9287" t="s">
        <v>9100</v>
      </c>
    </row>
    <row r="9288" spans="1:3" x14ac:dyDescent="0.25">
      <c r="A9288" t="str">
        <f>"0611863407050"</f>
        <v>0611863407050</v>
      </c>
      <c r="B9288" t="str">
        <f>"CR3809"</f>
        <v>CR3809</v>
      </c>
      <c r="C9288" t="s">
        <v>9101</v>
      </c>
    </row>
    <row r="9289" spans="1:3" x14ac:dyDescent="0.25">
      <c r="A9289" t="str">
        <f>"0611863408100"</f>
        <v>0611863408100</v>
      </c>
      <c r="B9289" t="str">
        <f>"CN5285"</f>
        <v>CN5285</v>
      </c>
      <c r="C9289" t="s">
        <v>9102</v>
      </c>
    </row>
    <row r="9290" spans="1:3" x14ac:dyDescent="0.25">
      <c r="A9290" t="str">
        <f>"0611863409100"</f>
        <v>0611863409100</v>
      </c>
      <c r="B9290" t="str">
        <f>"CN2380"</f>
        <v>CN2380</v>
      </c>
      <c r="C9290" t="s">
        <v>9103</v>
      </c>
    </row>
    <row r="9291" spans="1:3" x14ac:dyDescent="0.25">
      <c r="A9291" t="str">
        <f>"0611863410100"</f>
        <v>0611863410100</v>
      </c>
      <c r="B9291" t="str">
        <f>"CN2381"</f>
        <v>CN2381</v>
      </c>
      <c r="C9291" t="s">
        <v>9104</v>
      </c>
    </row>
    <row r="9292" spans="1:3" x14ac:dyDescent="0.25">
      <c r="A9292" t="str">
        <f>"0611863411100"</f>
        <v>0611863411100</v>
      </c>
      <c r="B9292" t="str">
        <f>"CN5286"</f>
        <v>CN5286</v>
      </c>
      <c r="C9292" t="s">
        <v>9105</v>
      </c>
    </row>
    <row r="9293" spans="1:3" x14ac:dyDescent="0.25">
      <c r="A9293" t="str">
        <f>"0611863412100"</f>
        <v>0611863412100</v>
      </c>
      <c r="B9293" t="str">
        <f>"CN2382"</f>
        <v>CN2382</v>
      </c>
      <c r="C9293" t="s">
        <v>9106</v>
      </c>
    </row>
    <row r="9294" spans="1:3" x14ac:dyDescent="0.25">
      <c r="A9294" t="str">
        <f>"0611863413100"</f>
        <v>0611863413100</v>
      </c>
      <c r="B9294" t="str">
        <f>"CN2383"</f>
        <v>CN2383</v>
      </c>
      <c r="C9294" t="s">
        <v>9107</v>
      </c>
    </row>
    <row r="9295" spans="1:3" x14ac:dyDescent="0.25">
      <c r="A9295" t="str">
        <f>"0611863414100"</f>
        <v>0611863414100</v>
      </c>
      <c r="B9295" t="str">
        <f>"CN5287"</f>
        <v>CN5287</v>
      </c>
      <c r="C9295" t="s">
        <v>9108</v>
      </c>
    </row>
    <row r="9296" spans="1:3" x14ac:dyDescent="0.25">
      <c r="A9296" t="str">
        <f>"0611837344025"</f>
        <v>0611837344025</v>
      </c>
      <c r="B9296" t="str">
        <f>"MQ3180"</f>
        <v>MQ3180</v>
      </c>
      <c r="C9296" t="s">
        <v>9109</v>
      </c>
    </row>
    <row r="9297" spans="1:3" x14ac:dyDescent="0.25">
      <c r="A9297" t="str">
        <f>"0611837345025"</f>
        <v>0611837345025</v>
      </c>
      <c r="B9297" t="str">
        <f>"MQ0555"</f>
        <v>MQ0555</v>
      </c>
      <c r="C9297" t="s">
        <v>9110</v>
      </c>
    </row>
    <row r="9298" spans="1:3" x14ac:dyDescent="0.25">
      <c r="A9298" t="str">
        <f>"0611837346025"</f>
        <v>0611837346025</v>
      </c>
      <c r="B9298" t="str">
        <f>"MQ3181"</f>
        <v>MQ3181</v>
      </c>
      <c r="C9298" t="s">
        <v>9111</v>
      </c>
    </row>
    <row r="9299" spans="1:3" x14ac:dyDescent="0.25">
      <c r="A9299" t="str">
        <f>"0611837348025"</f>
        <v>0611837348025</v>
      </c>
      <c r="B9299" t="str">
        <f>"MC3575"</f>
        <v>MC3575</v>
      </c>
      <c r="C9299" t="s">
        <v>9112</v>
      </c>
    </row>
    <row r="9300" spans="1:3" x14ac:dyDescent="0.25">
      <c r="A9300" t="str">
        <f>"0611837349025"</f>
        <v>0611837349025</v>
      </c>
      <c r="B9300" t="str">
        <f>"MQ3182"</f>
        <v>MQ3182</v>
      </c>
      <c r="C9300" t="s">
        <v>9113</v>
      </c>
    </row>
    <row r="9301" spans="1:3" x14ac:dyDescent="0.25">
      <c r="A9301" t="str">
        <f>"0611837350025"</f>
        <v>0611837350025</v>
      </c>
      <c r="B9301" t="str">
        <f>"MQ3183"</f>
        <v>MQ3183</v>
      </c>
      <c r="C9301" t="s">
        <v>9114</v>
      </c>
    </row>
    <row r="9302" spans="1:3" x14ac:dyDescent="0.25">
      <c r="A9302" t="str">
        <f>"0611837351025"</f>
        <v>0611837351025</v>
      </c>
      <c r="B9302" t="str">
        <f>"MQ3020"</f>
        <v>MQ3020</v>
      </c>
      <c r="C9302" t="s">
        <v>9115</v>
      </c>
    </row>
    <row r="9303" spans="1:3" x14ac:dyDescent="0.25">
      <c r="A9303" t="str">
        <f>"0611906872025"</f>
        <v>0611906872025</v>
      </c>
      <c r="B9303" t="str">
        <f>"MQ3021"</f>
        <v>MQ3021</v>
      </c>
      <c r="C9303" t="s">
        <v>9116</v>
      </c>
    </row>
    <row r="9304" spans="1:3" x14ac:dyDescent="0.25">
      <c r="A9304" t="str">
        <f>"0611837352025"</f>
        <v>0611837352025</v>
      </c>
      <c r="B9304" t="str">
        <f>"MQ3184"</f>
        <v>MQ3184</v>
      </c>
      <c r="C9304" t="s">
        <v>9117</v>
      </c>
    </row>
    <row r="9305" spans="1:3" x14ac:dyDescent="0.25">
      <c r="A9305" t="str">
        <f>"0611837353100"</f>
        <v>0611837353100</v>
      </c>
      <c r="B9305" t="str">
        <f>"LH6365"</f>
        <v>LH6365</v>
      </c>
      <c r="C9305" t="s">
        <v>9118</v>
      </c>
    </row>
    <row r="9306" spans="1:3" x14ac:dyDescent="0.25">
      <c r="A9306" t="str">
        <f>"0611837356025"</f>
        <v>0611837356025</v>
      </c>
      <c r="B9306" t="str">
        <f>"MQ0311"</f>
        <v>MQ0311</v>
      </c>
      <c r="C9306" t="s">
        <v>9119</v>
      </c>
    </row>
    <row r="9307" spans="1:3" x14ac:dyDescent="0.25">
      <c r="A9307" t="str">
        <f>"0611837359100"</f>
        <v>0611837359100</v>
      </c>
      <c r="B9307" t="str">
        <f>"LK6101"</f>
        <v>LK6101</v>
      </c>
      <c r="C9307" t="s">
        <v>9120</v>
      </c>
    </row>
    <row r="9308" spans="1:3" x14ac:dyDescent="0.25">
      <c r="A9308" t="str">
        <f>"0611837360100"</f>
        <v>0611837360100</v>
      </c>
      <c r="B9308" t="str">
        <f>"LK6102"</f>
        <v>LK6102</v>
      </c>
      <c r="C9308" t="s">
        <v>9121</v>
      </c>
    </row>
    <row r="9309" spans="1:3" x14ac:dyDescent="0.25">
      <c r="A9309" t="str">
        <f>"0611837361100"</f>
        <v>0611837361100</v>
      </c>
      <c r="B9309" t="str">
        <f>"LK6103"</f>
        <v>LK6103</v>
      </c>
      <c r="C9309" t="s">
        <v>9122</v>
      </c>
    </row>
    <row r="9310" spans="1:3" x14ac:dyDescent="0.25">
      <c r="A9310" t="str">
        <f>"0611837362100"</f>
        <v>0611837362100</v>
      </c>
      <c r="B9310" t="str">
        <f>"LK6104"</f>
        <v>LK6104</v>
      </c>
      <c r="C9310" t="s">
        <v>9123</v>
      </c>
    </row>
    <row r="9311" spans="1:3" x14ac:dyDescent="0.25">
      <c r="A9311" t="str">
        <f>"0611837363100"</f>
        <v>0611837363100</v>
      </c>
      <c r="B9311" t="str">
        <f>"LK6419"</f>
        <v>LK6419</v>
      </c>
      <c r="C9311" t="s">
        <v>9124</v>
      </c>
    </row>
    <row r="9312" spans="1:3" x14ac:dyDescent="0.25">
      <c r="A9312" t="str">
        <f>"0611837364100"</f>
        <v>0611837364100</v>
      </c>
      <c r="B9312" t="str">
        <f>"LK6105"</f>
        <v>LK6105</v>
      </c>
      <c r="C9312" t="s">
        <v>9125</v>
      </c>
    </row>
    <row r="9313" spans="1:3" x14ac:dyDescent="0.25">
      <c r="A9313" t="str">
        <f>"0611857051100"</f>
        <v>0611857051100</v>
      </c>
      <c r="B9313" t="str">
        <f>"LK7097"</f>
        <v>LK7097</v>
      </c>
      <c r="C9313" t="s">
        <v>9126</v>
      </c>
    </row>
    <row r="9314" spans="1:3" x14ac:dyDescent="0.25">
      <c r="A9314" t="str">
        <f>"0611837366100"</f>
        <v>0611837366100</v>
      </c>
      <c r="B9314" t="str">
        <f>"LB7613"</f>
        <v>LB7613</v>
      </c>
      <c r="C9314" t="s">
        <v>9127</v>
      </c>
    </row>
    <row r="9315" spans="1:3" x14ac:dyDescent="0.25">
      <c r="A9315" t="str">
        <f>"0611837367100"</f>
        <v>0611837367100</v>
      </c>
      <c r="B9315" t="str">
        <f>"LK1339"</f>
        <v>LK1339</v>
      </c>
      <c r="C9315" t="s">
        <v>9128</v>
      </c>
    </row>
    <row r="9316" spans="1:3" x14ac:dyDescent="0.25">
      <c r="A9316" t="str">
        <f>"0611837368100"</f>
        <v>0611837368100</v>
      </c>
      <c r="B9316" t="str">
        <f>"LK1978"</f>
        <v>LK1978</v>
      </c>
      <c r="C9316" t="s">
        <v>9129</v>
      </c>
    </row>
    <row r="9317" spans="1:3" x14ac:dyDescent="0.25">
      <c r="A9317" t="str">
        <f>"0611837369100"</f>
        <v>0611837369100</v>
      </c>
      <c r="B9317" t="str">
        <f>"LB7614"</f>
        <v>LB7614</v>
      </c>
      <c r="C9317" t="s">
        <v>9130</v>
      </c>
    </row>
    <row r="9318" spans="1:3" x14ac:dyDescent="0.25">
      <c r="A9318" t="str">
        <f>"0611837370100"</f>
        <v>0611837370100</v>
      </c>
      <c r="B9318" t="str">
        <f>"LK2949"</f>
        <v>LK2949</v>
      </c>
      <c r="C9318" t="s">
        <v>9131</v>
      </c>
    </row>
    <row r="9319" spans="1:3" x14ac:dyDescent="0.25">
      <c r="A9319" t="str">
        <f>"0611837371100"</f>
        <v>0611837371100</v>
      </c>
      <c r="B9319" t="str">
        <f>"LK6106"</f>
        <v>LK6106</v>
      </c>
      <c r="C9319" t="s">
        <v>9132</v>
      </c>
    </row>
    <row r="9320" spans="1:3" x14ac:dyDescent="0.25">
      <c r="A9320" t="str">
        <f>"0611837373100"</f>
        <v>0611837373100</v>
      </c>
      <c r="B9320" t="str">
        <f>"LB7616"</f>
        <v>LB7616</v>
      </c>
      <c r="C9320" t="s">
        <v>9133</v>
      </c>
    </row>
    <row r="9321" spans="1:3" x14ac:dyDescent="0.25">
      <c r="A9321" t="str">
        <f>"0611837374100"</f>
        <v>0611837374100</v>
      </c>
      <c r="B9321" t="str">
        <f>"LK1839"</f>
        <v>LK1839</v>
      </c>
      <c r="C9321" t="s">
        <v>9134</v>
      </c>
    </row>
    <row r="9322" spans="1:3" x14ac:dyDescent="0.25">
      <c r="A9322" t="str">
        <f>"0611837426100"</f>
        <v>0611837426100</v>
      </c>
      <c r="B9322" t="str">
        <f>"LB7600"</f>
        <v>LB7600</v>
      </c>
      <c r="C9322" t="s">
        <v>9135</v>
      </c>
    </row>
    <row r="9323" spans="1:3" x14ac:dyDescent="0.25">
      <c r="A9323" t="str">
        <f>"0611837427025"</f>
        <v>0611837427025</v>
      </c>
      <c r="B9323" t="str">
        <f>"MC1437"</f>
        <v>MC1437</v>
      </c>
      <c r="C9323" t="s">
        <v>9136</v>
      </c>
    </row>
    <row r="9324" spans="1:3" x14ac:dyDescent="0.25">
      <c r="A9324" t="str">
        <f>"0611837375100"</f>
        <v>0611837375100</v>
      </c>
      <c r="B9324" t="str">
        <f>"LK6256"</f>
        <v>LK6256</v>
      </c>
      <c r="C9324" t="s">
        <v>9137</v>
      </c>
    </row>
    <row r="9325" spans="1:3" x14ac:dyDescent="0.25">
      <c r="A9325" t="str">
        <f>"0611837376100"</f>
        <v>0611837376100</v>
      </c>
      <c r="B9325" t="str">
        <f>"LK6874"</f>
        <v>LK6874</v>
      </c>
      <c r="C9325" t="s">
        <v>9138</v>
      </c>
    </row>
    <row r="9326" spans="1:3" x14ac:dyDescent="0.25">
      <c r="A9326" t="str">
        <f>"0611857052100"</f>
        <v>0611857052100</v>
      </c>
      <c r="B9326" t="str">
        <f>"LK7098"</f>
        <v>LK7098</v>
      </c>
      <c r="C9326" t="s">
        <v>9139</v>
      </c>
    </row>
    <row r="9327" spans="1:3" x14ac:dyDescent="0.25">
      <c r="A9327" t="str">
        <f>"0611837377100"</f>
        <v>0611837377100</v>
      </c>
      <c r="B9327" t="str">
        <f>"LK7023"</f>
        <v>LK7023</v>
      </c>
      <c r="C9327" t="s">
        <v>9140</v>
      </c>
    </row>
    <row r="9328" spans="1:3" x14ac:dyDescent="0.25">
      <c r="A9328" t="str">
        <f>"0611837378100"</f>
        <v>0611837378100</v>
      </c>
      <c r="B9328" t="str">
        <f>"LK6707"</f>
        <v>LK6707</v>
      </c>
      <c r="C9328" t="s">
        <v>9141</v>
      </c>
    </row>
    <row r="9329" spans="1:3" x14ac:dyDescent="0.25">
      <c r="A9329" t="str">
        <f>"0611837379100"</f>
        <v>0611837379100</v>
      </c>
      <c r="B9329" t="str">
        <f>"LK6708"</f>
        <v>LK6708</v>
      </c>
      <c r="C9329" t="s">
        <v>9142</v>
      </c>
    </row>
    <row r="9330" spans="1:3" x14ac:dyDescent="0.25">
      <c r="A9330" t="str">
        <f>"0611837380100"</f>
        <v>0611837380100</v>
      </c>
      <c r="B9330" t="str">
        <f>"LK6709"</f>
        <v>LK6709</v>
      </c>
      <c r="C9330" t="s">
        <v>9143</v>
      </c>
    </row>
    <row r="9331" spans="1:3" x14ac:dyDescent="0.25">
      <c r="A9331" t="str">
        <f>"0611837381100"</f>
        <v>0611837381100</v>
      </c>
      <c r="B9331" t="str">
        <f>"LK6710"</f>
        <v>LK6710</v>
      </c>
      <c r="C9331" t="s">
        <v>9144</v>
      </c>
    </row>
    <row r="9332" spans="1:3" x14ac:dyDescent="0.25">
      <c r="A9332" t="str">
        <f>"0611837382100"</f>
        <v>0611837382100</v>
      </c>
      <c r="B9332" t="str">
        <f>"LK6654"</f>
        <v>LK6654</v>
      </c>
      <c r="C9332" t="s">
        <v>9145</v>
      </c>
    </row>
    <row r="9333" spans="1:3" x14ac:dyDescent="0.25">
      <c r="A9333" t="str">
        <f>"0611837383100"</f>
        <v>0611837383100</v>
      </c>
      <c r="B9333" t="str">
        <f>"LK6711"</f>
        <v>LK6711</v>
      </c>
      <c r="C9333" t="s">
        <v>9146</v>
      </c>
    </row>
    <row r="9334" spans="1:3" x14ac:dyDescent="0.25">
      <c r="A9334" t="str">
        <f>"0611837384100"</f>
        <v>0611837384100</v>
      </c>
      <c r="B9334" t="str">
        <f>"LK6712"</f>
        <v>LK6712</v>
      </c>
      <c r="C9334" t="s">
        <v>9147</v>
      </c>
    </row>
    <row r="9335" spans="1:3" x14ac:dyDescent="0.25">
      <c r="A9335" t="str">
        <f>"0611837385100"</f>
        <v>0611837385100</v>
      </c>
      <c r="B9335" t="str">
        <f>"LK6713"</f>
        <v>LK6713</v>
      </c>
      <c r="C9335" t="s">
        <v>9148</v>
      </c>
    </row>
    <row r="9336" spans="1:3" x14ac:dyDescent="0.25">
      <c r="A9336" t="str">
        <f>"0611837386100"</f>
        <v>0611837386100</v>
      </c>
      <c r="B9336" t="str">
        <f>"LK6715"</f>
        <v>LK6715</v>
      </c>
      <c r="C9336" t="s">
        <v>9149</v>
      </c>
    </row>
    <row r="9337" spans="1:3" x14ac:dyDescent="0.25">
      <c r="A9337" t="str">
        <f>"0611837387100"</f>
        <v>0611837387100</v>
      </c>
      <c r="B9337" t="str">
        <f>"LK1705"</f>
        <v>LK1705</v>
      </c>
      <c r="C9337" t="s">
        <v>9150</v>
      </c>
    </row>
    <row r="9338" spans="1:3" x14ac:dyDescent="0.25">
      <c r="A9338" t="str">
        <f>"0611837388100"</f>
        <v>0611837388100</v>
      </c>
      <c r="B9338" t="str">
        <f>"LK2950"</f>
        <v>LK2950</v>
      </c>
      <c r="C9338" t="s">
        <v>9151</v>
      </c>
    </row>
    <row r="9339" spans="1:3" x14ac:dyDescent="0.25">
      <c r="A9339" t="str">
        <f>"0611837389100"</f>
        <v>0611837389100</v>
      </c>
      <c r="B9339" t="str">
        <f>"LK3462"</f>
        <v>LK3462</v>
      </c>
      <c r="C9339" t="s">
        <v>9152</v>
      </c>
    </row>
    <row r="9340" spans="1:3" x14ac:dyDescent="0.25">
      <c r="A9340" t="str">
        <f>"0611837390100"</f>
        <v>0611837390100</v>
      </c>
      <c r="B9340" t="str">
        <f>"LK1706"</f>
        <v>LK1706</v>
      </c>
      <c r="C9340" t="s">
        <v>9153</v>
      </c>
    </row>
    <row r="9341" spans="1:3" x14ac:dyDescent="0.25">
      <c r="A9341" t="str">
        <f>"0611837391100"</f>
        <v>0611837391100</v>
      </c>
      <c r="B9341" t="str">
        <f>"LK1707"</f>
        <v>LK1707</v>
      </c>
      <c r="C9341" t="s">
        <v>9154</v>
      </c>
    </row>
    <row r="9342" spans="1:3" x14ac:dyDescent="0.25">
      <c r="A9342" t="str">
        <f>"0611837393100"</f>
        <v>0611837393100</v>
      </c>
      <c r="B9342" t="str">
        <f>"LK5869"</f>
        <v>LK5869</v>
      </c>
      <c r="C9342" t="s">
        <v>9155</v>
      </c>
    </row>
    <row r="9343" spans="1:3" x14ac:dyDescent="0.25">
      <c r="A9343" t="str">
        <f>"0611837394100"</f>
        <v>0611837394100</v>
      </c>
      <c r="B9343" t="str">
        <f>"LK2952"</f>
        <v>LK2952</v>
      </c>
      <c r="C9343" t="s">
        <v>9156</v>
      </c>
    </row>
    <row r="9344" spans="1:3" x14ac:dyDescent="0.25">
      <c r="A9344" t="str">
        <f>"0611837395100"</f>
        <v>0611837395100</v>
      </c>
      <c r="B9344" t="str">
        <f>"LK3463"</f>
        <v>LK3463</v>
      </c>
      <c r="C9344" t="s">
        <v>9157</v>
      </c>
    </row>
    <row r="9345" spans="1:3" x14ac:dyDescent="0.25">
      <c r="A9345" t="str">
        <f>"0611837396100"</f>
        <v>0611837396100</v>
      </c>
      <c r="B9345" t="str">
        <f>"LK1708"</f>
        <v>LK1708</v>
      </c>
      <c r="C9345" t="s">
        <v>9158</v>
      </c>
    </row>
    <row r="9346" spans="1:3" x14ac:dyDescent="0.25">
      <c r="A9346" t="str">
        <f>"0611837397100"</f>
        <v>0611837397100</v>
      </c>
      <c r="B9346" t="str">
        <f>"LK1709"</f>
        <v>LK1709</v>
      </c>
      <c r="C9346" t="s">
        <v>9159</v>
      </c>
    </row>
    <row r="9347" spans="1:3" x14ac:dyDescent="0.25">
      <c r="A9347" t="str">
        <f>"0611837405100"</f>
        <v>0611837405100</v>
      </c>
      <c r="B9347" t="str">
        <f>"LK2955"</f>
        <v>LK2955</v>
      </c>
      <c r="C9347" t="s">
        <v>9160</v>
      </c>
    </row>
    <row r="9348" spans="1:3" x14ac:dyDescent="0.25">
      <c r="A9348" t="str">
        <f>"0611837410100"</f>
        <v>0611837410100</v>
      </c>
      <c r="B9348" t="str">
        <f>"LB7617"</f>
        <v>LB7617</v>
      </c>
      <c r="C9348" t="s">
        <v>9161</v>
      </c>
    </row>
    <row r="9349" spans="1:3" x14ac:dyDescent="0.25">
      <c r="A9349" t="str">
        <f>"0611837411100"</f>
        <v>0611837411100</v>
      </c>
      <c r="B9349" t="str">
        <f>"LB7605"</f>
        <v>LB7605</v>
      </c>
      <c r="C9349" t="s">
        <v>9162</v>
      </c>
    </row>
    <row r="9350" spans="1:3" x14ac:dyDescent="0.25">
      <c r="A9350" t="str">
        <f>"0611837412100"</f>
        <v>0611837412100</v>
      </c>
      <c r="B9350" t="str">
        <f>"LB7608"</f>
        <v>LB7608</v>
      </c>
      <c r="C9350" t="s">
        <v>9163</v>
      </c>
    </row>
    <row r="9351" spans="1:3" x14ac:dyDescent="0.25">
      <c r="A9351" t="str">
        <f>"0611837414100"</f>
        <v>0611837414100</v>
      </c>
      <c r="B9351" t="str">
        <f>"LB7609"</f>
        <v>LB7609</v>
      </c>
      <c r="C9351" t="s">
        <v>9164</v>
      </c>
    </row>
    <row r="9352" spans="1:3" x14ac:dyDescent="0.25">
      <c r="A9352" t="str">
        <f>"0611837415100"</f>
        <v>0611837415100</v>
      </c>
      <c r="B9352" t="str">
        <f>"LB7615"</f>
        <v>LB7615</v>
      </c>
      <c r="C9352" t="s">
        <v>9165</v>
      </c>
    </row>
    <row r="9353" spans="1:3" x14ac:dyDescent="0.25">
      <c r="A9353" t="str">
        <f>"0611837416100"</f>
        <v>0611837416100</v>
      </c>
      <c r="B9353" t="str">
        <f>"LK6257"</f>
        <v>LK6257</v>
      </c>
      <c r="C9353" t="s">
        <v>9166</v>
      </c>
    </row>
    <row r="9354" spans="1:3" x14ac:dyDescent="0.25">
      <c r="A9354" t="str">
        <f>"0611837417100"</f>
        <v>0611837417100</v>
      </c>
      <c r="B9354" t="str">
        <f>"LK6258"</f>
        <v>LK6258</v>
      </c>
      <c r="C9354" t="s">
        <v>9167</v>
      </c>
    </row>
    <row r="9355" spans="1:3" x14ac:dyDescent="0.25">
      <c r="A9355" t="str">
        <f>"0611837418100"</f>
        <v>0611837418100</v>
      </c>
      <c r="B9355" t="str">
        <f>"LK6259"</f>
        <v>LK6259</v>
      </c>
      <c r="C9355" t="s">
        <v>9168</v>
      </c>
    </row>
    <row r="9356" spans="1:3" x14ac:dyDescent="0.25">
      <c r="A9356" t="str">
        <f>"0611837419100"</f>
        <v>0611837419100</v>
      </c>
      <c r="B9356" t="str">
        <f>"LK6590"</f>
        <v>LK6590</v>
      </c>
      <c r="C9356" t="s">
        <v>9169</v>
      </c>
    </row>
    <row r="9357" spans="1:3" x14ac:dyDescent="0.25">
      <c r="A9357" t="str">
        <f>"0611837420100"</f>
        <v>0611837420100</v>
      </c>
      <c r="B9357" t="str">
        <f>"LK6420"</f>
        <v>LK6420</v>
      </c>
      <c r="C9357" t="s">
        <v>9170</v>
      </c>
    </row>
    <row r="9358" spans="1:3" x14ac:dyDescent="0.25">
      <c r="A9358" t="str">
        <f>"0611837421100"</f>
        <v>0611837421100</v>
      </c>
      <c r="B9358" t="str">
        <f>"LK6260"</f>
        <v>LK6260</v>
      </c>
      <c r="C9358" t="s">
        <v>9171</v>
      </c>
    </row>
    <row r="9359" spans="1:3" x14ac:dyDescent="0.25">
      <c r="A9359" t="str">
        <f>"0611837422100"</f>
        <v>0611837422100</v>
      </c>
      <c r="B9359" t="str">
        <f>"LK6338"</f>
        <v>LK6338</v>
      </c>
      <c r="C9359" t="s">
        <v>9172</v>
      </c>
    </row>
    <row r="9360" spans="1:3" x14ac:dyDescent="0.25">
      <c r="A9360" t="str">
        <f>"0611837423100"</f>
        <v>0611837423100</v>
      </c>
      <c r="B9360" t="str">
        <f>"LK6261"</f>
        <v>LK6261</v>
      </c>
      <c r="C9360" t="s">
        <v>9173</v>
      </c>
    </row>
    <row r="9361" spans="1:3" x14ac:dyDescent="0.25">
      <c r="A9361" t="str">
        <f>"0611837424100"</f>
        <v>0611837424100</v>
      </c>
      <c r="B9361" t="str">
        <f>"LK6262"</f>
        <v>LK6262</v>
      </c>
      <c r="C9361" t="s">
        <v>9174</v>
      </c>
    </row>
    <row r="9362" spans="1:3" x14ac:dyDescent="0.25">
      <c r="A9362" t="str">
        <f>"0611863422050"</f>
        <v>0611863422050</v>
      </c>
      <c r="B9362" t="str">
        <f>"CR3044"</f>
        <v>CR3044</v>
      </c>
      <c r="C9362" t="s">
        <v>9175</v>
      </c>
    </row>
    <row r="9363" spans="1:3" x14ac:dyDescent="0.25">
      <c r="A9363" t="str">
        <f>"0611863423050"</f>
        <v>0611863423050</v>
      </c>
      <c r="B9363" t="str">
        <f>"CR3045"</f>
        <v>CR3045</v>
      </c>
      <c r="C9363" t="s">
        <v>9176</v>
      </c>
    </row>
    <row r="9364" spans="1:3" x14ac:dyDescent="0.25">
      <c r="A9364" t="str">
        <f>"0611863424050"</f>
        <v>0611863424050</v>
      </c>
      <c r="B9364" t="str">
        <f>"CR3046"</f>
        <v>CR3046</v>
      </c>
      <c r="C9364" t="s">
        <v>9177</v>
      </c>
    </row>
    <row r="9365" spans="1:3" x14ac:dyDescent="0.25">
      <c r="A9365" t="str">
        <f>"0611863425050"</f>
        <v>0611863425050</v>
      </c>
      <c r="B9365" t="str">
        <f>"CR3047"</f>
        <v>CR3047</v>
      </c>
      <c r="C9365" t="s">
        <v>9178</v>
      </c>
    </row>
    <row r="9366" spans="1:3" x14ac:dyDescent="0.25">
      <c r="A9366" t="str">
        <f>"0611863426050"</f>
        <v>0611863426050</v>
      </c>
      <c r="B9366" t="str">
        <f>"CE1120"</f>
        <v>CE1120</v>
      </c>
      <c r="C9366" t="s">
        <v>9179</v>
      </c>
    </row>
    <row r="9367" spans="1:3" x14ac:dyDescent="0.25">
      <c r="A9367" t="str">
        <f>"0611863427050"</f>
        <v>0611863427050</v>
      </c>
      <c r="B9367" t="str">
        <f>"CE1667"</f>
        <v>CE1667</v>
      </c>
      <c r="C9367" t="s">
        <v>9180</v>
      </c>
    </row>
    <row r="9368" spans="1:3" x14ac:dyDescent="0.25">
      <c r="A9368" t="str">
        <f>"0611863428050"</f>
        <v>0611863428050</v>
      </c>
      <c r="B9368" t="str">
        <f>"CE1668"</f>
        <v>CE1668</v>
      </c>
      <c r="C9368" t="s">
        <v>9181</v>
      </c>
    </row>
    <row r="9369" spans="1:3" x14ac:dyDescent="0.25">
      <c r="A9369" t="str">
        <f>"0611863429050"</f>
        <v>0611863429050</v>
      </c>
      <c r="B9369" t="str">
        <f>"CE1669"</f>
        <v>CE1669</v>
      </c>
      <c r="C9369" t="s">
        <v>9182</v>
      </c>
    </row>
    <row r="9370" spans="1:3" x14ac:dyDescent="0.25">
      <c r="A9370" t="str">
        <f>"0611863430050"</f>
        <v>0611863430050</v>
      </c>
      <c r="B9370" t="str">
        <f>"CE1670"</f>
        <v>CE1670</v>
      </c>
      <c r="C9370" t="s">
        <v>9183</v>
      </c>
    </row>
    <row r="9371" spans="1:3" x14ac:dyDescent="0.25">
      <c r="A9371" t="str">
        <f>"0611863431050"</f>
        <v>0611863431050</v>
      </c>
      <c r="B9371" t="str">
        <f>"CE0876"</f>
        <v>CE0876</v>
      </c>
      <c r="C9371" t="s">
        <v>9184</v>
      </c>
    </row>
    <row r="9372" spans="1:3" x14ac:dyDescent="0.25">
      <c r="A9372" t="str">
        <f>"0611863432050"</f>
        <v>0611863432050</v>
      </c>
      <c r="B9372" t="str">
        <f>"CE1691"</f>
        <v>CE1691</v>
      </c>
      <c r="C9372" t="s">
        <v>9185</v>
      </c>
    </row>
    <row r="9373" spans="1:3" x14ac:dyDescent="0.25">
      <c r="A9373" t="str">
        <f>"0611863433050"</f>
        <v>0611863433050</v>
      </c>
      <c r="B9373" t="str">
        <f>"CE1121"</f>
        <v>CE1121</v>
      </c>
      <c r="C9373" t="s">
        <v>9186</v>
      </c>
    </row>
    <row r="9374" spans="1:3" x14ac:dyDescent="0.25">
      <c r="A9374" t="str">
        <f>"0611863434050"</f>
        <v>0611863434050</v>
      </c>
      <c r="B9374" t="str">
        <f>"CE0877"</f>
        <v>CE0877</v>
      </c>
      <c r="C9374" t="s">
        <v>9187</v>
      </c>
    </row>
    <row r="9375" spans="1:3" x14ac:dyDescent="0.25">
      <c r="A9375" t="str">
        <f>"0611863435050"</f>
        <v>0611863435050</v>
      </c>
      <c r="B9375" t="str">
        <f>"CE1427"</f>
        <v>CE1427</v>
      </c>
      <c r="C9375" t="s">
        <v>9188</v>
      </c>
    </row>
    <row r="9376" spans="1:3" x14ac:dyDescent="0.25">
      <c r="A9376" t="str">
        <f>"0611863436050"</f>
        <v>0611863436050</v>
      </c>
      <c r="B9376" t="str">
        <f>"CE1122"</f>
        <v>CE1122</v>
      </c>
      <c r="C9376" t="s">
        <v>9189</v>
      </c>
    </row>
    <row r="9377" spans="1:3" x14ac:dyDescent="0.25">
      <c r="A9377" t="str">
        <f>"0611863437050"</f>
        <v>0611863437050</v>
      </c>
      <c r="B9377" t="str">
        <f>"CE0879"</f>
        <v>CE0879</v>
      </c>
      <c r="C9377" t="s">
        <v>9190</v>
      </c>
    </row>
    <row r="9378" spans="1:3" x14ac:dyDescent="0.25">
      <c r="A9378" t="str">
        <f>"0611837127025"</f>
        <v>0611837127025</v>
      </c>
      <c r="B9378" t="str">
        <f>"MC3773"</f>
        <v>MC3773</v>
      </c>
      <c r="C9378" t="s">
        <v>8548</v>
      </c>
    </row>
    <row r="9379" spans="1:3" x14ac:dyDescent="0.25">
      <c r="A9379" t="str">
        <f>"0611837126025"</f>
        <v>0611837126025</v>
      </c>
      <c r="B9379" t="str">
        <f>"MC2027"</f>
        <v>MC2027</v>
      </c>
      <c r="C9379" t="s">
        <v>8547</v>
      </c>
    </row>
    <row r="9380" spans="1:3" x14ac:dyDescent="0.25">
      <c r="A9380" t="str">
        <f>"0611863378050"</f>
        <v>0611863378050</v>
      </c>
      <c r="B9380" t="str">
        <f>"CR4402"</f>
        <v>CR4402</v>
      </c>
      <c r="C9380" t="s">
        <v>8537</v>
      </c>
    </row>
    <row r="9381" spans="1:3" x14ac:dyDescent="0.25">
      <c r="A9381" t="str">
        <f>"0611863379050"</f>
        <v>0611863379050</v>
      </c>
      <c r="B9381" t="str">
        <f>"CR4403"</f>
        <v>CR4403</v>
      </c>
      <c r="C9381" t="s">
        <v>8538</v>
      </c>
    </row>
    <row r="9382" spans="1:3" x14ac:dyDescent="0.25">
      <c r="A9382" t="str">
        <f>"0611863380050"</f>
        <v>0611863380050</v>
      </c>
      <c r="B9382" t="str">
        <f>"CR4404"</f>
        <v>CR4404</v>
      </c>
      <c r="C9382" t="s">
        <v>8539</v>
      </c>
    </row>
    <row r="9383" spans="1:3" x14ac:dyDescent="0.25">
      <c r="A9383" t="str">
        <f>"0611863381050"</f>
        <v>0611863381050</v>
      </c>
      <c r="B9383" t="str">
        <f>"CR4406"</f>
        <v>CR4406</v>
      </c>
      <c r="C9383" t="s">
        <v>8540</v>
      </c>
    </row>
    <row r="9384" spans="1:3" x14ac:dyDescent="0.25">
      <c r="A9384" t="str">
        <f>"0611863382050"</f>
        <v>0611863382050</v>
      </c>
      <c r="B9384" t="str">
        <f>"CR4407"</f>
        <v>CR4407</v>
      </c>
      <c r="C9384" t="s">
        <v>8541</v>
      </c>
    </row>
    <row r="9385" spans="1:3" x14ac:dyDescent="0.25">
      <c r="A9385" t="str">
        <f>"0611863383050"</f>
        <v>0611863383050</v>
      </c>
      <c r="B9385" t="str">
        <f>"CR4408"</f>
        <v>CR4408</v>
      </c>
      <c r="C9385" t="s">
        <v>8542</v>
      </c>
    </row>
    <row r="9386" spans="1:3" x14ac:dyDescent="0.25">
      <c r="A9386" t="str">
        <f>"0611863384050"</f>
        <v>0611863384050</v>
      </c>
      <c r="B9386" t="str">
        <f>"CR4409"</f>
        <v>CR4409</v>
      </c>
      <c r="C9386" t="s">
        <v>8543</v>
      </c>
    </row>
    <row r="9387" spans="1:3" x14ac:dyDescent="0.25">
      <c r="A9387" t="str">
        <f>"0611863385050"</f>
        <v>0611863385050</v>
      </c>
      <c r="B9387" t="str">
        <f>"CR4410"</f>
        <v>CR4410</v>
      </c>
      <c r="C9387" t="s">
        <v>8544</v>
      </c>
    </row>
    <row r="9388" spans="1:3" x14ac:dyDescent="0.25">
      <c r="A9388" t="str">
        <f>"0611863386050"</f>
        <v>0611863386050</v>
      </c>
      <c r="B9388" t="str">
        <f>"CR4411"</f>
        <v>CR4411</v>
      </c>
      <c r="C9388" t="s">
        <v>8545</v>
      </c>
    </row>
    <row r="9389" spans="1:3" x14ac:dyDescent="0.25">
      <c r="A9389" t="str">
        <f>"0611863387050"</f>
        <v>0611863387050</v>
      </c>
      <c r="B9389" t="str">
        <f>"CR4412"</f>
        <v>CR4412</v>
      </c>
      <c r="C9389" t="s">
        <v>8546</v>
      </c>
    </row>
    <row r="9390" spans="1:3" x14ac:dyDescent="0.25">
      <c r="A9390" t="str">
        <f>"0611837128025"</f>
        <v>0611837128025</v>
      </c>
      <c r="B9390" t="str">
        <f>"MC0562"</f>
        <v>MC0562</v>
      </c>
      <c r="C9390" t="s">
        <v>8549</v>
      </c>
    </row>
    <row r="9391" spans="1:3" x14ac:dyDescent="0.25">
      <c r="A9391" t="str">
        <f>"0611837129025"</f>
        <v>0611837129025</v>
      </c>
      <c r="B9391" t="str">
        <f>"MC0563"</f>
        <v>MC0563</v>
      </c>
      <c r="C9391" t="s">
        <v>8550</v>
      </c>
    </row>
    <row r="9392" spans="1:3" x14ac:dyDescent="0.25">
      <c r="A9392" t="str">
        <f>"0611837130025"</f>
        <v>0611837130025</v>
      </c>
      <c r="B9392" t="str">
        <f>"MC1312"</f>
        <v>MC1312</v>
      </c>
      <c r="C9392" t="s">
        <v>8551</v>
      </c>
    </row>
    <row r="9393" spans="1:3" x14ac:dyDescent="0.25">
      <c r="A9393" t="str">
        <f>"0611837131025"</f>
        <v>0611837131025</v>
      </c>
      <c r="B9393" t="str">
        <f>"MC0564"</f>
        <v>MC0564</v>
      </c>
      <c r="C9393" t="s">
        <v>8552</v>
      </c>
    </row>
    <row r="9394" spans="1:3" x14ac:dyDescent="0.25">
      <c r="A9394" t="str">
        <f>"0611863440100"</f>
        <v>0611863440100</v>
      </c>
      <c r="B9394" t="str">
        <f>"CN2237"</f>
        <v>CN2237</v>
      </c>
      <c r="C9394" t="s">
        <v>9191</v>
      </c>
    </row>
    <row r="9395" spans="1:3" x14ac:dyDescent="0.25">
      <c r="A9395" t="str">
        <f>"0611837428100"</f>
        <v>0611837428100</v>
      </c>
      <c r="B9395" t="str">
        <f>"LF5575"</f>
        <v>LF5575</v>
      </c>
      <c r="C9395" t="s">
        <v>9192</v>
      </c>
    </row>
    <row r="9396" spans="1:3" x14ac:dyDescent="0.25">
      <c r="A9396" t="str">
        <f>"0611863441100"</f>
        <v>0611863441100</v>
      </c>
      <c r="B9396" t="str">
        <f>"CN2238"</f>
        <v>CN2238</v>
      </c>
      <c r="C9396" t="s">
        <v>9193</v>
      </c>
    </row>
    <row r="9397" spans="1:3" x14ac:dyDescent="0.25">
      <c r="A9397" t="str">
        <f>"0611884347100"</f>
        <v>0611884347100</v>
      </c>
      <c r="B9397" t="str">
        <f>"LF9107"</f>
        <v>LF9107</v>
      </c>
      <c r="C9397" t="s">
        <v>9194</v>
      </c>
    </row>
    <row r="9398" spans="1:3" x14ac:dyDescent="0.25">
      <c r="A9398" t="str">
        <f>"0611884348100"</f>
        <v>0611884348100</v>
      </c>
      <c r="B9398" t="str">
        <f>"LF0050"</f>
        <v>LF0050</v>
      </c>
      <c r="C9398" t="s">
        <v>9195</v>
      </c>
    </row>
    <row r="9399" spans="1:3" x14ac:dyDescent="0.25">
      <c r="A9399" t="str">
        <f>"0611863443100"</f>
        <v>0611863443100</v>
      </c>
      <c r="B9399" t="str">
        <f>"CN2399"</f>
        <v>CN2399</v>
      </c>
      <c r="C9399" t="s">
        <v>9196</v>
      </c>
    </row>
    <row r="9400" spans="1:3" x14ac:dyDescent="0.25">
      <c r="A9400" t="str">
        <f>"0611884349100"</f>
        <v>0611884349100</v>
      </c>
      <c r="B9400" t="str">
        <f>"LF0051"</f>
        <v>LF0051</v>
      </c>
      <c r="C9400" t="s">
        <v>9197</v>
      </c>
    </row>
    <row r="9401" spans="1:3" x14ac:dyDescent="0.25">
      <c r="A9401" t="str">
        <f>"0611884350100"</f>
        <v>0611884350100</v>
      </c>
      <c r="B9401" t="str">
        <f>"LF9109"</f>
        <v>LF9109</v>
      </c>
      <c r="C9401" t="s">
        <v>9198</v>
      </c>
    </row>
    <row r="9402" spans="1:3" x14ac:dyDescent="0.25">
      <c r="A9402" t="str">
        <f>"0611884351100"</f>
        <v>0611884351100</v>
      </c>
      <c r="B9402" t="str">
        <f>"LF9111"</f>
        <v>LF9111</v>
      </c>
      <c r="C9402" t="s">
        <v>9199</v>
      </c>
    </row>
    <row r="9403" spans="1:3" x14ac:dyDescent="0.25">
      <c r="A9403" t="str">
        <f>"0611837429100"</f>
        <v>0611837429100</v>
      </c>
      <c r="B9403" t="str">
        <f>"LF0036"</f>
        <v>LF0036</v>
      </c>
      <c r="C9403" t="s">
        <v>9200</v>
      </c>
    </row>
    <row r="9404" spans="1:3" x14ac:dyDescent="0.25">
      <c r="A9404" t="str">
        <f>"0611884352100"</f>
        <v>0611884352100</v>
      </c>
      <c r="B9404" t="str">
        <f>"LF9108"</f>
        <v>LF9108</v>
      </c>
      <c r="C9404" t="s">
        <v>9201</v>
      </c>
    </row>
    <row r="9405" spans="1:3" x14ac:dyDescent="0.25">
      <c r="A9405" t="str">
        <f>"0611837430100"</f>
        <v>0611837430100</v>
      </c>
      <c r="B9405" t="str">
        <f>"LF0037"</f>
        <v>LF0037</v>
      </c>
      <c r="C9405" t="s">
        <v>9202</v>
      </c>
    </row>
    <row r="9406" spans="1:3" x14ac:dyDescent="0.25">
      <c r="A9406" t="str">
        <f>"0611884353100"</f>
        <v>0611884353100</v>
      </c>
      <c r="B9406" t="str">
        <f>"LF9110"</f>
        <v>LF9110</v>
      </c>
      <c r="C9406" t="s">
        <v>9203</v>
      </c>
    </row>
    <row r="9407" spans="1:3" x14ac:dyDescent="0.25">
      <c r="A9407" t="str">
        <f>"0611906873100"</f>
        <v>0611906873100</v>
      </c>
      <c r="B9407" t="str">
        <f>"LK7219"</f>
        <v>LK7219</v>
      </c>
      <c r="C9407" t="s">
        <v>9204</v>
      </c>
    </row>
    <row r="9408" spans="1:3" x14ac:dyDescent="0.25">
      <c r="A9408" t="str">
        <f>"0611832321100"</f>
        <v>0611832321100</v>
      </c>
      <c r="B9408" t="str">
        <f>"LL3048"</f>
        <v>LL3048</v>
      </c>
      <c r="C9408" t="s">
        <v>9205</v>
      </c>
    </row>
    <row r="9409" spans="1:3" x14ac:dyDescent="0.25">
      <c r="A9409" t="str">
        <f>"0611832322100"</f>
        <v>0611832322100</v>
      </c>
      <c r="B9409" t="str">
        <f>"LL5016"</f>
        <v>LL5016</v>
      </c>
      <c r="C9409" t="s">
        <v>9206</v>
      </c>
    </row>
    <row r="9410" spans="1:3" x14ac:dyDescent="0.25">
      <c r="A9410" t="str">
        <f>"0611832323100"</f>
        <v>0611832323100</v>
      </c>
      <c r="B9410" t="str">
        <f>"LL3101"</f>
        <v>LL3101</v>
      </c>
      <c r="C9410" t="s">
        <v>9207</v>
      </c>
    </row>
    <row r="9411" spans="1:3" x14ac:dyDescent="0.25">
      <c r="A9411" t="str">
        <f>"0611832324100"</f>
        <v>0611832324100</v>
      </c>
      <c r="B9411" t="str">
        <f>"LL8337"</f>
        <v>LL8337</v>
      </c>
      <c r="C9411" t="s">
        <v>9208</v>
      </c>
    </row>
    <row r="9412" spans="1:3" x14ac:dyDescent="0.25">
      <c r="A9412" t="str">
        <f>"0611832325100"</f>
        <v>0611832325100</v>
      </c>
      <c r="B9412" t="str">
        <f>"LL3129"</f>
        <v>LL3129</v>
      </c>
      <c r="C9412" t="s">
        <v>9209</v>
      </c>
    </row>
    <row r="9413" spans="1:3" x14ac:dyDescent="0.25">
      <c r="A9413" t="str">
        <f>"0611832326100"</f>
        <v>0611832326100</v>
      </c>
      <c r="B9413" t="str">
        <f>"LL0042"</f>
        <v>LL0042</v>
      </c>
      <c r="C9413" t="s">
        <v>9210</v>
      </c>
    </row>
    <row r="9414" spans="1:3" x14ac:dyDescent="0.25">
      <c r="A9414" t="str">
        <f>"0611832327100"</f>
        <v>0611832327100</v>
      </c>
      <c r="B9414" t="str">
        <f>"LL3050"</f>
        <v>LL3050</v>
      </c>
      <c r="C9414" t="s">
        <v>9211</v>
      </c>
    </row>
    <row r="9415" spans="1:3" x14ac:dyDescent="0.25">
      <c r="A9415" t="str">
        <f>"0611832328200"</f>
        <v>0611832328200</v>
      </c>
      <c r="B9415" t="str">
        <f>"KY3050"</f>
        <v>KY3050</v>
      </c>
      <c r="C9415" t="s">
        <v>9212</v>
      </c>
    </row>
    <row r="9416" spans="1:3" x14ac:dyDescent="0.25">
      <c r="A9416" t="str">
        <f>"0611837432100"</f>
        <v>0611837432100</v>
      </c>
      <c r="B9416" t="str">
        <f>"LL3102"</f>
        <v>LL3102</v>
      </c>
      <c r="C9416" t="s">
        <v>9213</v>
      </c>
    </row>
    <row r="9417" spans="1:3" x14ac:dyDescent="0.25">
      <c r="A9417" t="str">
        <f>"0611832329100"</f>
        <v>0611832329100</v>
      </c>
      <c r="B9417" t="str">
        <f>"LL0023"</f>
        <v>LL0023</v>
      </c>
      <c r="C9417" t="s">
        <v>9214</v>
      </c>
    </row>
    <row r="9418" spans="1:3" x14ac:dyDescent="0.25">
      <c r="A9418" t="str">
        <f>"0611837433100"</f>
        <v>0611837433100</v>
      </c>
      <c r="B9418" t="str">
        <f>"LL4838"</f>
        <v>LL4838</v>
      </c>
      <c r="C9418" t="s">
        <v>9215</v>
      </c>
    </row>
    <row r="9419" spans="1:3" x14ac:dyDescent="0.25">
      <c r="A9419" t="str">
        <f>"0611832330100"</f>
        <v>0611832330100</v>
      </c>
      <c r="B9419" t="str">
        <f>"LL3133"</f>
        <v>LL3133</v>
      </c>
      <c r="C9419" t="s">
        <v>9216</v>
      </c>
    </row>
    <row r="9420" spans="1:3" x14ac:dyDescent="0.25">
      <c r="A9420" t="str">
        <f>"0611832331100"</f>
        <v>0611832331100</v>
      </c>
      <c r="B9420" t="str">
        <f>"LL0043"</f>
        <v>LL0043</v>
      </c>
      <c r="C9420" t="s">
        <v>9217</v>
      </c>
    </row>
    <row r="9421" spans="1:3" x14ac:dyDescent="0.25">
      <c r="A9421" t="str">
        <f>"0611832332100"</f>
        <v>0611832332100</v>
      </c>
      <c r="B9421" t="str">
        <f>"LL3370"</f>
        <v>LL3370</v>
      </c>
      <c r="C9421" t="s">
        <v>9218</v>
      </c>
    </row>
    <row r="9422" spans="1:3" x14ac:dyDescent="0.25">
      <c r="A9422" t="str">
        <f>"0611837434100"</f>
        <v>0611837434100</v>
      </c>
      <c r="B9422" t="str">
        <f>"LL3098"</f>
        <v>LL3098</v>
      </c>
      <c r="C9422" t="s">
        <v>9219</v>
      </c>
    </row>
    <row r="9423" spans="1:3" x14ac:dyDescent="0.25">
      <c r="A9423" t="str">
        <f>"0611832333100"</f>
        <v>0611832333100</v>
      </c>
      <c r="B9423" t="str">
        <f>"LL8313"</f>
        <v>LL8313</v>
      </c>
      <c r="C9423" t="s">
        <v>9220</v>
      </c>
    </row>
    <row r="9424" spans="1:3" x14ac:dyDescent="0.25">
      <c r="A9424" t="str">
        <f>"0611832334100"</f>
        <v>0611832334100</v>
      </c>
      <c r="B9424" t="str">
        <f>"LL8279"</f>
        <v>LL8279</v>
      </c>
      <c r="C9424" t="s">
        <v>9221</v>
      </c>
    </row>
    <row r="9425" spans="1:3" x14ac:dyDescent="0.25">
      <c r="A9425" t="str">
        <f>"0611832335100"</f>
        <v>0611832335100</v>
      </c>
      <c r="B9425" t="str">
        <f>"LL3053"</f>
        <v>LL3053</v>
      </c>
      <c r="C9425" t="s">
        <v>9222</v>
      </c>
    </row>
    <row r="9426" spans="1:3" x14ac:dyDescent="0.25">
      <c r="A9426" t="str">
        <f>"0611832336100"</f>
        <v>0611832336100</v>
      </c>
      <c r="B9426" t="str">
        <f>"LL3055"</f>
        <v>LL3055</v>
      </c>
      <c r="C9426" t="s">
        <v>9223</v>
      </c>
    </row>
    <row r="9427" spans="1:3" x14ac:dyDescent="0.25">
      <c r="A9427" t="str">
        <f>"0611832339100"</f>
        <v>0611832339100</v>
      </c>
      <c r="B9427" t="str">
        <f>"LL3170"</f>
        <v>LL3170</v>
      </c>
      <c r="C9427" t="s">
        <v>9224</v>
      </c>
    </row>
    <row r="9428" spans="1:3" x14ac:dyDescent="0.25">
      <c r="A9428" t="str">
        <f>"0611832340100"</f>
        <v>0611832340100</v>
      </c>
      <c r="B9428" t="str">
        <f>"LL0093"</f>
        <v>LL0093</v>
      </c>
      <c r="C9428" t="s">
        <v>9475</v>
      </c>
    </row>
    <row r="9429" spans="1:3" x14ac:dyDescent="0.25">
      <c r="A9429" t="str">
        <f>"0611832341100"</f>
        <v>0611832341100</v>
      </c>
      <c r="B9429" t="str">
        <f>"LL3068"</f>
        <v>LL3068</v>
      </c>
      <c r="C9429" t="s">
        <v>9476</v>
      </c>
    </row>
    <row r="9430" spans="1:3" x14ac:dyDescent="0.25">
      <c r="A9430" t="str">
        <f>"0611832342100"</f>
        <v>0611832342100</v>
      </c>
      <c r="B9430" t="str">
        <f>"LL3069"</f>
        <v>LL3069</v>
      </c>
      <c r="C9430" t="s">
        <v>9477</v>
      </c>
    </row>
    <row r="9431" spans="1:3" x14ac:dyDescent="0.25">
      <c r="A9431" t="str">
        <f>"0611837435100"</f>
        <v>0611837435100</v>
      </c>
      <c r="B9431" t="str">
        <f>"LL3060"</f>
        <v>LL3060</v>
      </c>
      <c r="C9431" t="s">
        <v>9225</v>
      </c>
    </row>
    <row r="9432" spans="1:3" x14ac:dyDescent="0.25">
      <c r="A9432" t="str">
        <f>"0611832343100"</f>
        <v>0611832343100</v>
      </c>
      <c r="B9432" t="str">
        <f>"LL3065"</f>
        <v>LL3065</v>
      </c>
      <c r="C9432" t="s">
        <v>9226</v>
      </c>
    </row>
    <row r="9433" spans="1:3" x14ac:dyDescent="0.25">
      <c r="A9433" t="str">
        <f>"0611832344100"</f>
        <v>0611832344100</v>
      </c>
      <c r="B9433" t="str">
        <f>"LL3162"</f>
        <v>LL3162</v>
      </c>
      <c r="C9433" t="s">
        <v>9227</v>
      </c>
    </row>
    <row r="9434" spans="1:3" x14ac:dyDescent="0.25">
      <c r="A9434" t="str">
        <f>"0611832345100"</f>
        <v>0611832345100</v>
      </c>
      <c r="B9434" t="str">
        <f>"LL3158"</f>
        <v>LL3158</v>
      </c>
      <c r="C9434" t="s">
        <v>9228</v>
      </c>
    </row>
    <row r="9435" spans="1:3" x14ac:dyDescent="0.25">
      <c r="A9435" t="str">
        <f>"0611832346100"</f>
        <v>0611832346100</v>
      </c>
      <c r="B9435" t="str">
        <f>"LL3057"</f>
        <v>LL3057</v>
      </c>
      <c r="C9435" t="s">
        <v>9229</v>
      </c>
    </row>
    <row r="9436" spans="1:3" x14ac:dyDescent="0.25">
      <c r="A9436" t="str">
        <f>"0611832347100"</f>
        <v>0611832347100</v>
      </c>
      <c r="B9436" t="str">
        <f>"LL8314"</f>
        <v>LL8314</v>
      </c>
      <c r="C9436" t="s">
        <v>9230</v>
      </c>
    </row>
    <row r="9437" spans="1:3" x14ac:dyDescent="0.25">
      <c r="A9437" t="str">
        <f>"0611832348200"</f>
        <v>0611832348200</v>
      </c>
      <c r="B9437" t="str">
        <f>"KY3054"</f>
        <v>KY3054</v>
      </c>
      <c r="C9437" t="s">
        <v>9231</v>
      </c>
    </row>
    <row r="9438" spans="1:3" x14ac:dyDescent="0.25">
      <c r="A9438" t="str">
        <f>"0611832350100"</f>
        <v>0611832350100</v>
      </c>
      <c r="B9438" t="str">
        <f>"LK4941"</f>
        <v>LK4941</v>
      </c>
      <c r="C9438" t="s">
        <v>9232</v>
      </c>
    </row>
    <row r="9439" spans="1:3" x14ac:dyDescent="0.25">
      <c r="A9439" t="str">
        <f>"0611832351100"</f>
        <v>0611832351100</v>
      </c>
      <c r="B9439" t="str">
        <f>"LK1980"</f>
        <v>LK1980</v>
      </c>
      <c r="C9439" t="s">
        <v>9233</v>
      </c>
    </row>
    <row r="9440" spans="1:3" x14ac:dyDescent="0.25">
      <c r="A9440" t="str">
        <f>"0611832352100"</f>
        <v>0611832352100</v>
      </c>
      <c r="B9440" t="str">
        <f>"LK6263"</f>
        <v>LK6263</v>
      </c>
      <c r="C9440" t="s">
        <v>9234</v>
      </c>
    </row>
    <row r="9441" spans="1:3" x14ac:dyDescent="0.25">
      <c r="A9441" t="str">
        <f>"0611832353100"</f>
        <v>0611832353100</v>
      </c>
      <c r="B9441" t="str">
        <f>"LL3135"</f>
        <v>LL3135</v>
      </c>
      <c r="C9441" t="s">
        <v>9235</v>
      </c>
    </row>
    <row r="9442" spans="1:3" x14ac:dyDescent="0.25">
      <c r="A9442" t="str">
        <f>"0611857053100"</f>
        <v>0611857053100</v>
      </c>
      <c r="B9442" t="str">
        <f>"LL5043"</f>
        <v>LL5043</v>
      </c>
      <c r="C9442" t="s">
        <v>9236</v>
      </c>
    </row>
    <row r="9443" spans="1:3" x14ac:dyDescent="0.25">
      <c r="A9443" t="str">
        <f>"0611832354100"</f>
        <v>0611832354100</v>
      </c>
      <c r="B9443" t="str">
        <f>"LL0059"</f>
        <v>LL0059</v>
      </c>
      <c r="C9443" t="s">
        <v>9237</v>
      </c>
    </row>
    <row r="9444" spans="1:3" x14ac:dyDescent="0.25">
      <c r="A9444" t="str">
        <f>"0611832355100"</f>
        <v>0611832355100</v>
      </c>
      <c r="B9444" t="str">
        <f>"LL8043"</f>
        <v>LL8043</v>
      </c>
      <c r="C9444" t="s">
        <v>9238</v>
      </c>
    </row>
    <row r="9445" spans="1:3" x14ac:dyDescent="0.25">
      <c r="A9445" t="str">
        <f>"0611832356100"</f>
        <v>0611832356100</v>
      </c>
      <c r="B9445" t="str">
        <f>"LK3957"</f>
        <v>LK3957</v>
      </c>
      <c r="C9445" t="s">
        <v>9239</v>
      </c>
    </row>
    <row r="9446" spans="1:3" x14ac:dyDescent="0.25">
      <c r="A9446" t="str">
        <f>"0611832357100"</f>
        <v>0611832357100</v>
      </c>
      <c r="B9446" t="str">
        <f>"LL3075"</f>
        <v>LL3075</v>
      </c>
      <c r="C9446" t="s">
        <v>9240</v>
      </c>
    </row>
    <row r="9447" spans="1:3" x14ac:dyDescent="0.25">
      <c r="A9447" t="str">
        <f>"0611832358200"</f>
        <v>0611832358200</v>
      </c>
      <c r="B9447" t="str">
        <f>"KY3075"</f>
        <v>KY3075</v>
      </c>
      <c r="C9447" t="s">
        <v>9241</v>
      </c>
    </row>
    <row r="9448" spans="1:3" x14ac:dyDescent="0.25">
      <c r="A9448" t="str">
        <f>"0611832359100"</f>
        <v>0611832359100</v>
      </c>
      <c r="B9448" t="str">
        <f>"LL3197"</f>
        <v>LL3197</v>
      </c>
      <c r="C9448" t="s">
        <v>9242</v>
      </c>
    </row>
    <row r="9449" spans="1:3" x14ac:dyDescent="0.25">
      <c r="A9449" t="str">
        <f>"0611832360100"</f>
        <v>0611832360100</v>
      </c>
      <c r="B9449" t="str">
        <f>"LL8214"</f>
        <v>LL8214</v>
      </c>
      <c r="C9449" t="s">
        <v>9243</v>
      </c>
    </row>
    <row r="9450" spans="1:3" x14ac:dyDescent="0.25">
      <c r="A9450" t="str">
        <f>"0611832361100"</f>
        <v>0611832361100</v>
      </c>
      <c r="B9450" t="str">
        <f>"LL5017"</f>
        <v>LL5017</v>
      </c>
      <c r="C9450" t="s">
        <v>9244</v>
      </c>
    </row>
    <row r="9451" spans="1:3" x14ac:dyDescent="0.25">
      <c r="A9451" t="str">
        <f>"0611832362100"</f>
        <v>0611832362100</v>
      </c>
      <c r="B9451" t="str">
        <f>"LL3080"</f>
        <v>LL3080</v>
      </c>
      <c r="C9451" t="s">
        <v>9245</v>
      </c>
    </row>
    <row r="9452" spans="1:3" x14ac:dyDescent="0.25">
      <c r="A9452" t="str">
        <f>"0611832388100"</f>
        <v>0611832388100</v>
      </c>
      <c r="B9452" t="str">
        <f>"LL0174"</f>
        <v>LL0174</v>
      </c>
      <c r="C9452" t="s">
        <v>9246</v>
      </c>
    </row>
    <row r="9453" spans="1:3" x14ac:dyDescent="0.25">
      <c r="A9453" t="str">
        <f>"0611832364100"</f>
        <v>0611832364100</v>
      </c>
      <c r="B9453" t="str">
        <f>"LL0003"</f>
        <v>LL0003</v>
      </c>
      <c r="C9453" t="s">
        <v>9247</v>
      </c>
    </row>
    <row r="9454" spans="1:3" x14ac:dyDescent="0.25">
      <c r="A9454" t="str">
        <f>"0611832366100"</f>
        <v>0611832366100</v>
      </c>
      <c r="B9454" t="str">
        <f>"LL3184"</f>
        <v>LL3184</v>
      </c>
      <c r="C9454" t="s">
        <v>9248</v>
      </c>
    </row>
    <row r="9455" spans="1:3" x14ac:dyDescent="0.25">
      <c r="A9455" t="str">
        <f>"0611837436100"</f>
        <v>0611837436100</v>
      </c>
      <c r="B9455" t="str">
        <f>"LL8285"</f>
        <v>LL8285</v>
      </c>
      <c r="C9455" t="s">
        <v>9249</v>
      </c>
    </row>
    <row r="9456" spans="1:3" x14ac:dyDescent="0.25">
      <c r="A9456" t="str">
        <f>"0611832367100"</f>
        <v>0611832367100</v>
      </c>
      <c r="B9456" t="str">
        <f>"LL3088"</f>
        <v>LL3088</v>
      </c>
      <c r="C9456" t="s">
        <v>9250</v>
      </c>
    </row>
    <row r="9457" spans="1:3" x14ac:dyDescent="0.25">
      <c r="A9457" t="str">
        <f>"0611832368100"</f>
        <v>0611832368100</v>
      </c>
      <c r="B9457" t="str">
        <f>"LL3225"</f>
        <v>LL3225</v>
      </c>
      <c r="C9457" t="s">
        <v>9251</v>
      </c>
    </row>
    <row r="9458" spans="1:3" x14ac:dyDescent="0.25">
      <c r="A9458" t="str">
        <f>"0611832369200"</f>
        <v>0611832369200</v>
      </c>
      <c r="B9458" t="str">
        <f>"KY3225"</f>
        <v>KY3225</v>
      </c>
      <c r="C9458" t="s">
        <v>9252</v>
      </c>
    </row>
    <row r="9459" spans="1:3" x14ac:dyDescent="0.25">
      <c r="A9459" t="str">
        <f>"0611832370100"</f>
        <v>0611832370100</v>
      </c>
      <c r="B9459" t="str">
        <f>"LL3128"</f>
        <v>LL3128</v>
      </c>
      <c r="C9459" t="s">
        <v>9253</v>
      </c>
    </row>
    <row r="9460" spans="1:3" x14ac:dyDescent="0.25">
      <c r="A9460" t="str">
        <f>"0611832371100"</f>
        <v>0611832371100</v>
      </c>
      <c r="B9460" t="str">
        <f>"LL3433"</f>
        <v>LL3433</v>
      </c>
      <c r="C9460" t="s">
        <v>9254</v>
      </c>
    </row>
    <row r="9461" spans="1:3" x14ac:dyDescent="0.25">
      <c r="A9461" t="str">
        <f>"0611832372100"</f>
        <v>0611832372100</v>
      </c>
      <c r="B9461" t="str">
        <f>"LL3089"</f>
        <v>LL3089</v>
      </c>
      <c r="C9461" t="s">
        <v>9255</v>
      </c>
    </row>
    <row r="9462" spans="1:3" x14ac:dyDescent="0.25">
      <c r="A9462" t="str">
        <f>"0611832373100"</f>
        <v>0611832373100</v>
      </c>
      <c r="B9462" t="str">
        <f>"LL8050"</f>
        <v>LL8050</v>
      </c>
      <c r="C9462" t="s">
        <v>9256</v>
      </c>
    </row>
    <row r="9463" spans="1:3" x14ac:dyDescent="0.25">
      <c r="A9463" t="str">
        <f>"0611832374100"</f>
        <v>0611832374100</v>
      </c>
      <c r="B9463" t="str">
        <f>"LL0024"</f>
        <v>LL0024</v>
      </c>
      <c r="C9463" t="s">
        <v>9257</v>
      </c>
    </row>
    <row r="9464" spans="1:3" x14ac:dyDescent="0.25">
      <c r="A9464" t="str">
        <f>"0611832375100"</f>
        <v>0611832375100</v>
      </c>
      <c r="B9464" t="str">
        <f>"LL3049"</f>
        <v>LL3049</v>
      </c>
      <c r="C9464" t="s">
        <v>9258</v>
      </c>
    </row>
    <row r="9465" spans="1:3" x14ac:dyDescent="0.25">
      <c r="A9465" t="str">
        <f>"0611832377100"</f>
        <v>0611832377100</v>
      </c>
      <c r="B9465" t="str">
        <f>"LL3172"</f>
        <v>LL3172</v>
      </c>
      <c r="C9465" t="s">
        <v>9259</v>
      </c>
    </row>
    <row r="9466" spans="1:3" x14ac:dyDescent="0.25">
      <c r="A9466" t="str">
        <f>"0611832378100"</f>
        <v>0611832378100</v>
      </c>
      <c r="B9466" t="str">
        <f>"LL4839"</f>
        <v>LL4839</v>
      </c>
      <c r="C9466" t="s">
        <v>9260</v>
      </c>
    </row>
    <row r="9467" spans="1:3" x14ac:dyDescent="0.25">
      <c r="A9467" t="str">
        <f>"0611832379100"</f>
        <v>0611832379100</v>
      </c>
      <c r="B9467" t="str">
        <f>"LL8215"</f>
        <v>LL8215</v>
      </c>
      <c r="C9467" t="s">
        <v>9261</v>
      </c>
    </row>
    <row r="9468" spans="1:3" x14ac:dyDescent="0.25">
      <c r="A9468" t="str">
        <f>"0611832380100"</f>
        <v>0611832380100</v>
      </c>
      <c r="B9468" t="str">
        <f>"LL4824"</f>
        <v>LL4824</v>
      </c>
      <c r="C9468" t="s">
        <v>9262</v>
      </c>
    </row>
    <row r="9469" spans="1:3" x14ac:dyDescent="0.25">
      <c r="A9469" t="str">
        <f>"0611832381100"</f>
        <v>0611832381100</v>
      </c>
      <c r="B9469" t="str">
        <f>"LL8338"</f>
        <v>LL8338</v>
      </c>
      <c r="C9469" t="s">
        <v>9263</v>
      </c>
    </row>
    <row r="9470" spans="1:3" x14ac:dyDescent="0.25">
      <c r="A9470" t="str">
        <f>"0611832382100"</f>
        <v>0611832382100</v>
      </c>
      <c r="B9470" t="str">
        <f>"LK0306"</f>
        <v>LK0306</v>
      </c>
      <c r="C9470" t="s">
        <v>9264</v>
      </c>
    </row>
    <row r="9471" spans="1:3" x14ac:dyDescent="0.25">
      <c r="A9471" t="str">
        <f>"0611832383100"</f>
        <v>0611832383100</v>
      </c>
      <c r="B9471" t="str">
        <f>"LL3093"</f>
        <v>LL3093</v>
      </c>
      <c r="C9471" t="s">
        <v>9265</v>
      </c>
    </row>
    <row r="9472" spans="1:3" x14ac:dyDescent="0.25">
      <c r="A9472" t="str">
        <f>"0611832384100"</f>
        <v>0611832384100</v>
      </c>
      <c r="B9472" t="str">
        <f>"LL4019"</f>
        <v>LL4019</v>
      </c>
      <c r="C9472" t="s">
        <v>9266</v>
      </c>
    </row>
    <row r="9473" spans="1:3" x14ac:dyDescent="0.25">
      <c r="A9473" t="str">
        <f>"0611832385100"</f>
        <v>0611832385100</v>
      </c>
      <c r="B9473" t="str">
        <f>"LL3051"</f>
        <v>LL3051</v>
      </c>
      <c r="C9473" t="s">
        <v>9267</v>
      </c>
    </row>
    <row r="9474" spans="1:3" x14ac:dyDescent="0.25">
      <c r="A9474" t="str">
        <f>"0611832386100"</f>
        <v>0611832386100</v>
      </c>
      <c r="B9474" t="str">
        <f>"LL4825"</f>
        <v>LL4825</v>
      </c>
      <c r="C9474" t="s">
        <v>9268</v>
      </c>
    </row>
    <row r="9475" spans="1:3" x14ac:dyDescent="0.25">
      <c r="A9475" t="str">
        <f>"0611832387100"</f>
        <v>0611832387100</v>
      </c>
      <c r="B9475" t="str">
        <f>"LL8216"</f>
        <v>LL8216</v>
      </c>
      <c r="C9475" t="s">
        <v>9269</v>
      </c>
    </row>
    <row r="9476" spans="1:3" x14ac:dyDescent="0.25">
      <c r="A9476" t="str">
        <f>"0611832389100"</f>
        <v>0611832389100</v>
      </c>
      <c r="B9476" t="str">
        <f>"LL8051"</f>
        <v>LL8051</v>
      </c>
      <c r="C9476" t="s">
        <v>9270</v>
      </c>
    </row>
    <row r="9477" spans="1:3" x14ac:dyDescent="0.25">
      <c r="A9477" t="str">
        <f>"0611832390100"</f>
        <v>0611832390100</v>
      </c>
      <c r="B9477" t="str">
        <f>"LL8052"</f>
        <v>LL8052</v>
      </c>
      <c r="C9477" t="s">
        <v>9271</v>
      </c>
    </row>
    <row r="9478" spans="1:3" x14ac:dyDescent="0.25">
      <c r="A9478" t="str">
        <f>"0611832391100"</f>
        <v>0611832391100</v>
      </c>
      <c r="B9478" t="str">
        <f>"LL8286"</f>
        <v>LL8286</v>
      </c>
      <c r="C9478" t="s">
        <v>9272</v>
      </c>
    </row>
    <row r="9479" spans="1:3" x14ac:dyDescent="0.25">
      <c r="A9479" t="str">
        <f>"0611832392100"</f>
        <v>0611832392100</v>
      </c>
      <c r="B9479" t="str">
        <f>"LL3159"</f>
        <v>LL3159</v>
      </c>
      <c r="C9479" t="s">
        <v>9273</v>
      </c>
    </row>
    <row r="9480" spans="1:3" x14ac:dyDescent="0.25">
      <c r="A9480" t="str">
        <f>"0611837437100"</f>
        <v>0611837437100</v>
      </c>
      <c r="B9480" t="str">
        <f>"LL0175"</f>
        <v>LL0175</v>
      </c>
      <c r="C9480" t="s">
        <v>9339</v>
      </c>
    </row>
    <row r="9481" spans="1:3" x14ac:dyDescent="0.25">
      <c r="A9481" t="str">
        <f>"0611837438100"</f>
        <v>0611837438100</v>
      </c>
      <c r="B9481" t="str">
        <f>"LL3095"</f>
        <v>LL3095</v>
      </c>
      <c r="C9481" t="s">
        <v>9274</v>
      </c>
    </row>
    <row r="9482" spans="1:3" x14ac:dyDescent="0.25">
      <c r="A9482" t="str">
        <f>"0611837439100"</f>
        <v>0611837439100</v>
      </c>
      <c r="B9482" t="str">
        <f>"LL0004"</f>
        <v>LL0004</v>
      </c>
      <c r="C9482" t="s">
        <v>9275</v>
      </c>
    </row>
    <row r="9483" spans="1:3" x14ac:dyDescent="0.25">
      <c r="A9483" t="str">
        <f>"0611832394100"</f>
        <v>0611832394100</v>
      </c>
      <c r="B9483" t="str">
        <f>"LL0164"</f>
        <v>LL0164</v>
      </c>
      <c r="C9483" t="s">
        <v>9276</v>
      </c>
    </row>
    <row r="9484" spans="1:3" x14ac:dyDescent="0.25">
      <c r="A9484" t="str">
        <f>"0611832395100"</f>
        <v>0611832395100</v>
      </c>
      <c r="B9484" t="str">
        <f>"LL8053"</f>
        <v>LL8053</v>
      </c>
      <c r="C9484" t="s">
        <v>9277</v>
      </c>
    </row>
    <row r="9485" spans="1:3" x14ac:dyDescent="0.25">
      <c r="A9485" t="str">
        <f>"0611832396100"</f>
        <v>0611832396100</v>
      </c>
      <c r="B9485" t="str">
        <f>"LK5072"</f>
        <v>LK5072</v>
      </c>
      <c r="C9485" t="s">
        <v>9278</v>
      </c>
    </row>
    <row r="9486" spans="1:3" x14ac:dyDescent="0.25">
      <c r="A9486" t="str">
        <f>"0611837440100"</f>
        <v>0611837440100</v>
      </c>
      <c r="B9486" t="str">
        <f>"LL3100"</f>
        <v>LL3100</v>
      </c>
      <c r="C9486" t="s">
        <v>9279</v>
      </c>
    </row>
    <row r="9487" spans="1:3" x14ac:dyDescent="0.25">
      <c r="A9487" t="str">
        <f>"0611832397100"</f>
        <v>0611832397100</v>
      </c>
      <c r="B9487" t="str">
        <f>"LL3438"</f>
        <v>LL3438</v>
      </c>
      <c r="C9487" t="s">
        <v>9280</v>
      </c>
    </row>
    <row r="9488" spans="1:3" x14ac:dyDescent="0.25">
      <c r="A9488" t="str">
        <f>"0611832398100"</f>
        <v>0611832398100</v>
      </c>
      <c r="B9488" t="str">
        <f>"LL4872"</f>
        <v>LL4872</v>
      </c>
      <c r="C9488" t="s">
        <v>9281</v>
      </c>
    </row>
    <row r="9489" spans="1:3" x14ac:dyDescent="0.25">
      <c r="A9489" t="str">
        <f>"0611832399100"</f>
        <v>0611832399100</v>
      </c>
      <c r="B9489" t="str">
        <f>"LL0025"</f>
        <v>LL0025</v>
      </c>
      <c r="C9489" t="s">
        <v>9282</v>
      </c>
    </row>
    <row r="9490" spans="1:3" x14ac:dyDescent="0.25">
      <c r="A9490" t="str">
        <f>"0611857054100"</f>
        <v>0611857054100</v>
      </c>
      <c r="B9490" t="str">
        <f>"LL5052"</f>
        <v>LL5052</v>
      </c>
      <c r="C9490" t="s">
        <v>9283</v>
      </c>
    </row>
    <row r="9491" spans="1:3" x14ac:dyDescent="0.25">
      <c r="A9491" t="str">
        <f>"0611837441100"</f>
        <v>0611837441100</v>
      </c>
      <c r="B9491" t="str">
        <f>"LL0005"</f>
        <v>LL0005</v>
      </c>
      <c r="C9491" t="s">
        <v>9284</v>
      </c>
    </row>
    <row r="9492" spans="1:3" x14ac:dyDescent="0.25">
      <c r="A9492" t="str">
        <f>"0611832400100"</f>
        <v>0611832400100</v>
      </c>
      <c r="B9492" t="str">
        <f>"LL3062"</f>
        <v>LL3062</v>
      </c>
      <c r="C9492" t="s">
        <v>9285</v>
      </c>
    </row>
    <row r="9493" spans="1:3" x14ac:dyDescent="0.25">
      <c r="A9493" t="str">
        <f>"0611832401100"</f>
        <v>0611832401100</v>
      </c>
      <c r="B9493" t="str">
        <f>"LL3063"</f>
        <v>LL3063</v>
      </c>
      <c r="C9493" t="s">
        <v>9286</v>
      </c>
    </row>
    <row r="9494" spans="1:3" x14ac:dyDescent="0.25">
      <c r="A9494" t="str">
        <f>"0611832402100"</f>
        <v>0611832402100</v>
      </c>
      <c r="B9494" t="str">
        <f>"LL8218"</f>
        <v>LL8218</v>
      </c>
      <c r="C9494" t="s">
        <v>9287</v>
      </c>
    </row>
    <row r="9495" spans="1:3" x14ac:dyDescent="0.25">
      <c r="A9495" t="str">
        <f>"0611832403100"</f>
        <v>0611832403100</v>
      </c>
      <c r="B9495" t="str">
        <f>"LL3163"</f>
        <v>LL3163</v>
      </c>
      <c r="C9495" t="s">
        <v>9288</v>
      </c>
    </row>
    <row r="9496" spans="1:3" x14ac:dyDescent="0.25">
      <c r="A9496" t="str">
        <f>"0611832404100"</f>
        <v>0611832404100</v>
      </c>
      <c r="B9496" t="str">
        <f>"LL0060"</f>
        <v>LL0060</v>
      </c>
      <c r="C9496" t="s">
        <v>9289</v>
      </c>
    </row>
    <row r="9497" spans="1:3" x14ac:dyDescent="0.25">
      <c r="A9497" t="str">
        <f>"0611832406100"</f>
        <v>0611832406100</v>
      </c>
      <c r="B9497" t="str">
        <f>"LL8150"</f>
        <v>LL8150</v>
      </c>
      <c r="C9497" t="s">
        <v>9290</v>
      </c>
    </row>
    <row r="9498" spans="1:3" x14ac:dyDescent="0.25">
      <c r="A9498" t="str">
        <f>"0611832407100"</f>
        <v>0611832407100</v>
      </c>
      <c r="B9498" t="str">
        <f>"LL3134"</f>
        <v>LL3134</v>
      </c>
      <c r="C9498" t="s">
        <v>9291</v>
      </c>
    </row>
    <row r="9499" spans="1:3" x14ac:dyDescent="0.25">
      <c r="A9499" t="str">
        <f>"0611832408100"</f>
        <v>0611832408100</v>
      </c>
      <c r="B9499" t="str">
        <f>"LL8287"</f>
        <v>LL8287</v>
      </c>
      <c r="C9499" t="s">
        <v>9292</v>
      </c>
    </row>
    <row r="9500" spans="1:3" x14ac:dyDescent="0.25">
      <c r="A9500" t="str">
        <f>"0611832409100"</f>
        <v>0611832409100</v>
      </c>
      <c r="B9500" t="str">
        <f>"LL3124"</f>
        <v>LL3124</v>
      </c>
      <c r="C9500" t="s">
        <v>9293</v>
      </c>
    </row>
    <row r="9501" spans="1:3" x14ac:dyDescent="0.25">
      <c r="A9501" t="str">
        <f>"0611832410100"</f>
        <v>0611832410100</v>
      </c>
      <c r="B9501" t="str">
        <f>"LL0061"</f>
        <v>LL0061</v>
      </c>
      <c r="C9501" t="s">
        <v>9294</v>
      </c>
    </row>
    <row r="9502" spans="1:3" x14ac:dyDescent="0.25">
      <c r="A9502" t="str">
        <f>"0611832411100"</f>
        <v>0611832411100</v>
      </c>
      <c r="B9502" t="str">
        <f>"LL8151"</f>
        <v>LL8151</v>
      </c>
      <c r="C9502" t="s">
        <v>9295</v>
      </c>
    </row>
    <row r="9503" spans="1:3" x14ac:dyDescent="0.25">
      <c r="A9503" t="str">
        <f>"0611832412100"</f>
        <v>0611832412100</v>
      </c>
      <c r="B9503" t="str">
        <f>"LL8315"</f>
        <v>LL8315</v>
      </c>
      <c r="C9503" t="s">
        <v>9296</v>
      </c>
    </row>
    <row r="9504" spans="1:3" x14ac:dyDescent="0.25">
      <c r="A9504" t="str">
        <f>"0611832413100"</f>
        <v>0611832413100</v>
      </c>
      <c r="B9504" t="str">
        <f>"LL3181"</f>
        <v>LL3181</v>
      </c>
      <c r="C9504" t="s">
        <v>9297</v>
      </c>
    </row>
    <row r="9505" spans="1:3" x14ac:dyDescent="0.25">
      <c r="A9505" t="str">
        <f>"0611832414100"</f>
        <v>0611832414100</v>
      </c>
      <c r="B9505" t="str">
        <f>"LL3149"</f>
        <v>LL3149</v>
      </c>
      <c r="C9505" t="s">
        <v>9298</v>
      </c>
    </row>
    <row r="9506" spans="1:3" x14ac:dyDescent="0.25">
      <c r="A9506" t="str">
        <f>"0611837444100"</f>
        <v>0611837444100</v>
      </c>
      <c r="B9506" t="str">
        <f>"LL0176"</f>
        <v>LL0176</v>
      </c>
      <c r="C9506" t="s">
        <v>9299</v>
      </c>
    </row>
    <row r="9507" spans="1:3" x14ac:dyDescent="0.25">
      <c r="A9507" t="str">
        <f>"0611837442100"</f>
        <v>0611837442100</v>
      </c>
      <c r="B9507" t="str">
        <f>"LL0177"</f>
        <v>LL0177</v>
      </c>
      <c r="C9507" t="s">
        <v>9300</v>
      </c>
    </row>
    <row r="9508" spans="1:3" x14ac:dyDescent="0.25">
      <c r="A9508" t="str">
        <f>"0611837443100"</f>
        <v>0611837443100</v>
      </c>
      <c r="B9508" t="str">
        <f>"LL0178"</f>
        <v>LL0178</v>
      </c>
      <c r="C9508" t="s">
        <v>9301</v>
      </c>
    </row>
    <row r="9509" spans="1:3" x14ac:dyDescent="0.25">
      <c r="A9509" t="str">
        <f>"0611832415100"</f>
        <v>0611832415100</v>
      </c>
      <c r="B9509" t="str">
        <f>"LL3137"</f>
        <v>LL3137</v>
      </c>
      <c r="C9509" t="s">
        <v>9302</v>
      </c>
    </row>
    <row r="9510" spans="1:3" x14ac:dyDescent="0.25">
      <c r="A9510" t="str">
        <f>"0611832416100"</f>
        <v>0611832416100</v>
      </c>
      <c r="B9510" t="str">
        <f>"LL3178"</f>
        <v>LL3178</v>
      </c>
      <c r="C9510" t="s">
        <v>9303</v>
      </c>
    </row>
    <row r="9511" spans="1:3" x14ac:dyDescent="0.25">
      <c r="A9511" t="str">
        <f>"0611832418100"</f>
        <v>0611832418100</v>
      </c>
      <c r="B9511" t="str">
        <f>"LL3398"</f>
        <v>LL3398</v>
      </c>
      <c r="C9511" t="s">
        <v>9304</v>
      </c>
    </row>
    <row r="9512" spans="1:3" x14ac:dyDescent="0.25">
      <c r="A9512" t="str">
        <f>"0611837445100"</f>
        <v>0611837445100</v>
      </c>
      <c r="B9512" t="str">
        <f>"LL3096"</f>
        <v>LL3096</v>
      </c>
      <c r="C9512" t="s">
        <v>9305</v>
      </c>
    </row>
    <row r="9513" spans="1:3" x14ac:dyDescent="0.25">
      <c r="A9513" t="str">
        <f>"0611832500100"</f>
        <v>0611832500100</v>
      </c>
      <c r="B9513" t="str">
        <f>"LL3144"</f>
        <v>LL3144</v>
      </c>
      <c r="C9513" t="s">
        <v>9310</v>
      </c>
    </row>
    <row r="9514" spans="1:3" x14ac:dyDescent="0.25">
      <c r="A9514" t="str">
        <f>"0611837446100"</f>
        <v>0611837446100</v>
      </c>
      <c r="B9514" t="str">
        <f>"LL3439"</f>
        <v>LL3439</v>
      </c>
      <c r="C9514" t="s">
        <v>9306</v>
      </c>
    </row>
    <row r="9515" spans="1:3" x14ac:dyDescent="0.25">
      <c r="A9515" t="str">
        <f>"0611832420100"</f>
        <v>0611832420100</v>
      </c>
      <c r="B9515" t="str">
        <f>"LL0006"</f>
        <v>LL0006</v>
      </c>
      <c r="C9515" t="s">
        <v>9307</v>
      </c>
    </row>
    <row r="9516" spans="1:3" x14ac:dyDescent="0.25">
      <c r="A9516" t="str">
        <f>"0611832421100"</f>
        <v>0611832421100</v>
      </c>
      <c r="B9516" t="str">
        <f>"LL3150"</f>
        <v>LL3150</v>
      </c>
      <c r="C9516" t="s">
        <v>9308</v>
      </c>
    </row>
    <row r="9517" spans="1:3" x14ac:dyDescent="0.25">
      <c r="A9517" t="str">
        <f>"0611832422100"</f>
        <v>0611832422100</v>
      </c>
      <c r="B9517" t="str">
        <f>"LL8142"</f>
        <v>LL8142</v>
      </c>
      <c r="C9517" t="s">
        <v>9309</v>
      </c>
    </row>
    <row r="9518" spans="1:3" x14ac:dyDescent="0.25">
      <c r="A9518" t="str">
        <f>"0611832423100"</f>
        <v>0611832423100</v>
      </c>
      <c r="B9518" t="str">
        <f>"LL3071"</f>
        <v>LL3071</v>
      </c>
      <c r="C9518" t="s">
        <v>9311</v>
      </c>
    </row>
    <row r="9519" spans="1:3" x14ac:dyDescent="0.25">
      <c r="A9519" t="str">
        <f>"0611832424100"</f>
        <v>0611832424100</v>
      </c>
      <c r="B9519" t="str">
        <f>"LL3072"</f>
        <v>LL3072</v>
      </c>
      <c r="C9519" t="s">
        <v>9312</v>
      </c>
    </row>
    <row r="9520" spans="1:3" x14ac:dyDescent="0.25">
      <c r="A9520" t="str">
        <f>"0611832425100"</f>
        <v>0611832425100</v>
      </c>
      <c r="B9520" t="str">
        <f>"LL3140"</f>
        <v>LL3140</v>
      </c>
      <c r="C9520" t="s">
        <v>9313</v>
      </c>
    </row>
    <row r="9521" spans="1:3" x14ac:dyDescent="0.25">
      <c r="A9521" t="str">
        <f>"0611837447100"</f>
        <v>0611837447100</v>
      </c>
      <c r="B9521" t="str">
        <f>"LL3182"</f>
        <v>LL3182</v>
      </c>
      <c r="C9521" t="s">
        <v>9314</v>
      </c>
    </row>
    <row r="9522" spans="1:3" x14ac:dyDescent="0.25">
      <c r="A9522" t="str">
        <f>"0611884354100"</f>
        <v>0611884354100</v>
      </c>
      <c r="B9522" t="str">
        <f>"LL3183"</f>
        <v>LL3183</v>
      </c>
      <c r="C9522" t="s">
        <v>9315</v>
      </c>
    </row>
    <row r="9523" spans="1:3" x14ac:dyDescent="0.25">
      <c r="A9523" t="str">
        <f>"0611832427100"</f>
        <v>0611832427100</v>
      </c>
      <c r="B9523" t="str">
        <f>"LL3432"</f>
        <v>LL3432</v>
      </c>
      <c r="C9523" t="s">
        <v>9316</v>
      </c>
    </row>
    <row r="9524" spans="1:3" x14ac:dyDescent="0.25">
      <c r="A9524" t="str">
        <f>"0611832428100"</f>
        <v>0611832428100</v>
      </c>
      <c r="B9524" t="str">
        <f>"LL3143"</f>
        <v>LL3143</v>
      </c>
      <c r="C9524" t="s">
        <v>9317</v>
      </c>
    </row>
    <row r="9525" spans="1:3" x14ac:dyDescent="0.25">
      <c r="A9525" t="str">
        <f>"0611832429100"</f>
        <v>0611832429100</v>
      </c>
      <c r="B9525" t="str">
        <f>"LL3145"</f>
        <v>LL3145</v>
      </c>
      <c r="C9525" t="s">
        <v>9318</v>
      </c>
    </row>
    <row r="9526" spans="1:3" x14ac:dyDescent="0.25">
      <c r="A9526" t="str">
        <f>"0611832430100"</f>
        <v>0611832430100</v>
      </c>
      <c r="B9526" t="str">
        <f>"LL0062"</f>
        <v>LL0062</v>
      </c>
      <c r="C9526" t="s">
        <v>9319</v>
      </c>
    </row>
    <row r="9527" spans="1:3" x14ac:dyDescent="0.25">
      <c r="A9527" t="str">
        <f>"0611837448100"</f>
        <v>0611837448100</v>
      </c>
      <c r="B9527" t="str">
        <f>"LL3097"</f>
        <v>LL3097</v>
      </c>
      <c r="C9527" t="s">
        <v>9320</v>
      </c>
    </row>
    <row r="9528" spans="1:3" x14ac:dyDescent="0.25">
      <c r="A9528" t="str">
        <f>"0611837449100"</f>
        <v>0611837449100</v>
      </c>
      <c r="B9528" t="str">
        <f>"LL8288"</f>
        <v>LL8288</v>
      </c>
      <c r="C9528" t="s">
        <v>9321</v>
      </c>
    </row>
    <row r="9529" spans="1:3" x14ac:dyDescent="0.25">
      <c r="A9529" t="str">
        <f>"0611837450100"</f>
        <v>0611837450100</v>
      </c>
      <c r="B9529" t="str">
        <f>"LL3151"</f>
        <v>LL3151</v>
      </c>
      <c r="C9529" t="s">
        <v>9322</v>
      </c>
    </row>
    <row r="9530" spans="1:3" x14ac:dyDescent="0.25">
      <c r="A9530" t="str">
        <f>"0611837451100"</f>
        <v>0611837451100</v>
      </c>
      <c r="B9530" t="str">
        <f>"LL8289"</f>
        <v>LL8289</v>
      </c>
      <c r="C9530" t="s">
        <v>9323</v>
      </c>
    </row>
    <row r="9531" spans="1:3" x14ac:dyDescent="0.25">
      <c r="A9531" t="str">
        <f>"0611832431100"</f>
        <v>0611832431100</v>
      </c>
      <c r="B9531" t="str">
        <f>"LL3435"</f>
        <v>LL3435</v>
      </c>
      <c r="C9531" t="s">
        <v>9324</v>
      </c>
    </row>
    <row r="9532" spans="1:3" x14ac:dyDescent="0.25">
      <c r="A9532" t="str">
        <f>"0611832432100"</f>
        <v>0611832432100</v>
      </c>
      <c r="B9532" t="str">
        <f>"LL3152"</f>
        <v>LL3152</v>
      </c>
      <c r="C9532" t="s">
        <v>9325</v>
      </c>
    </row>
    <row r="9533" spans="1:3" x14ac:dyDescent="0.25">
      <c r="A9533" t="str">
        <f>"0611832433100"</f>
        <v>0611832433100</v>
      </c>
      <c r="B9533" t="str">
        <f>"LL3153"</f>
        <v>LL3153</v>
      </c>
      <c r="C9533" t="s">
        <v>9326</v>
      </c>
    </row>
    <row r="9534" spans="1:3" x14ac:dyDescent="0.25">
      <c r="A9534" t="str">
        <f>"0611832365100"</f>
        <v>0611832365100</v>
      </c>
      <c r="B9534" t="str">
        <f>"LL3123"</f>
        <v>LL3123</v>
      </c>
      <c r="C9534" t="s">
        <v>9327</v>
      </c>
    </row>
    <row r="9535" spans="1:3" x14ac:dyDescent="0.25">
      <c r="A9535" t="str">
        <f>"0611832376100"</f>
        <v>0611832376100</v>
      </c>
      <c r="B9535" t="str">
        <f>"LL3090"</f>
        <v>LL3090</v>
      </c>
      <c r="C9535" t="s">
        <v>9328</v>
      </c>
    </row>
    <row r="9536" spans="1:3" x14ac:dyDescent="0.25">
      <c r="A9536" t="str">
        <f>"0611832451100"</f>
        <v>0611832451100</v>
      </c>
      <c r="B9536" t="str">
        <f>"LL3190"</f>
        <v>LL3190</v>
      </c>
      <c r="C9536" t="s">
        <v>9329</v>
      </c>
    </row>
    <row r="9537" spans="1:3" x14ac:dyDescent="0.25">
      <c r="A9537" t="str">
        <f>"0611832452200"</f>
        <v>0611832452200</v>
      </c>
      <c r="B9537" t="str">
        <f>"KY3190"</f>
        <v>KY3190</v>
      </c>
      <c r="C9537" t="s">
        <v>9330</v>
      </c>
    </row>
    <row r="9538" spans="1:3" x14ac:dyDescent="0.25">
      <c r="A9538" t="str">
        <f>"0611837431100"</f>
        <v>0611837431100</v>
      </c>
      <c r="B9538" t="str">
        <f>"LL0173"</f>
        <v>LL0173</v>
      </c>
      <c r="C9538" t="s">
        <v>9336</v>
      </c>
    </row>
    <row r="9539" spans="1:3" x14ac:dyDescent="0.25">
      <c r="A9539" t="str">
        <f>"0611906874025"</f>
        <v>0611906874025</v>
      </c>
      <c r="B9539" t="str">
        <f>"MC4554"</f>
        <v>MC4554</v>
      </c>
      <c r="C9539" t="s">
        <v>9338</v>
      </c>
    </row>
    <row r="9540" spans="1:3" x14ac:dyDescent="0.25">
      <c r="A9540" t="str">
        <f>"0611837452100"</f>
        <v>0611837452100</v>
      </c>
      <c r="B9540" t="str">
        <f>"LL0179"</f>
        <v>LL0179</v>
      </c>
      <c r="C9540" t="s">
        <v>9337</v>
      </c>
    </row>
    <row r="9541" spans="1:3" x14ac:dyDescent="0.25">
      <c r="A9541" t="str">
        <f>"0611906875025"</f>
        <v>0611906875025</v>
      </c>
      <c r="B9541" t="str">
        <f>"MC4550"</f>
        <v>MC4550</v>
      </c>
      <c r="C9541" t="s">
        <v>9340</v>
      </c>
    </row>
    <row r="9542" spans="1:3" x14ac:dyDescent="0.25">
      <c r="A9542" t="str">
        <f>"0611837453100"</f>
        <v>0611837453100</v>
      </c>
      <c r="B9542" t="str">
        <f>"LL0180"</f>
        <v>LL0180</v>
      </c>
      <c r="C9542" t="s">
        <v>9341</v>
      </c>
    </row>
    <row r="9543" spans="1:3" x14ac:dyDescent="0.25">
      <c r="A9543" t="str">
        <f>"0611906876025"</f>
        <v>0611906876025</v>
      </c>
      <c r="B9543" t="str">
        <f>"MC4555"</f>
        <v>MC4555</v>
      </c>
      <c r="C9543" t="s">
        <v>9342</v>
      </c>
    </row>
    <row r="9544" spans="1:3" x14ac:dyDescent="0.25">
      <c r="A9544" t="str">
        <f>"0611837454100"</f>
        <v>0611837454100</v>
      </c>
      <c r="B9544" t="str">
        <f>"LL0181"</f>
        <v>LL0181</v>
      </c>
      <c r="C9544" t="s">
        <v>9343</v>
      </c>
    </row>
    <row r="9545" spans="1:3" x14ac:dyDescent="0.25">
      <c r="A9545" t="str">
        <f>"0611837455100"</f>
        <v>0611837455100</v>
      </c>
      <c r="B9545" t="str">
        <f>"LL0182"</f>
        <v>LL0182</v>
      </c>
      <c r="C9545" t="s">
        <v>9344</v>
      </c>
    </row>
    <row r="9546" spans="1:3" x14ac:dyDescent="0.25">
      <c r="A9546" t="str">
        <f>"0611906877025"</f>
        <v>0611906877025</v>
      </c>
      <c r="B9546" t="str">
        <f>"MC4557"</f>
        <v>MC4557</v>
      </c>
      <c r="C9546" t="s">
        <v>9345</v>
      </c>
    </row>
    <row r="9547" spans="1:3" x14ac:dyDescent="0.25">
      <c r="A9547" t="str">
        <f>"0611837469100"</f>
        <v>0611837469100</v>
      </c>
      <c r="B9547" t="str">
        <f>"LL0184"</f>
        <v>LL0184</v>
      </c>
      <c r="C9547" t="s">
        <v>9346</v>
      </c>
    </row>
    <row r="9548" spans="1:3" x14ac:dyDescent="0.25">
      <c r="A9548" t="str">
        <f>"0611837479100"</f>
        <v>0611837479100</v>
      </c>
      <c r="B9548" t="str">
        <f>"LL0186"</f>
        <v>LL0186</v>
      </c>
      <c r="C9548" t="s">
        <v>9347</v>
      </c>
    </row>
    <row r="9549" spans="1:3" x14ac:dyDescent="0.25">
      <c r="A9549" t="str">
        <f>"0611906878025"</f>
        <v>0611906878025</v>
      </c>
      <c r="B9549" t="str">
        <f>"MC4559"</f>
        <v>MC4559</v>
      </c>
      <c r="C9549" t="s">
        <v>9348</v>
      </c>
    </row>
    <row r="9550" spans="1:3" x14ac:dyDescent="0.25">
      <c r="A9550" t="str">
        <f>"0611837480100"</f>
        <v>0611837480100</v>
      </c>
      <c r="B9550" t="str">
        <f>"LL0187"</f>
        <v>LL0187</v>
      </c>
      <c r="C9550" t="s">
        <v>9349</v>
      </c>
    </row>
    <row r="9551" spans="1:3" x14ac:dyDescent="0.25">
      <c r="A9551" t="str">
        <f>"0611906879025"</f>
        <v>0611906879025</v>
      </c>
      <c r="B9551" t="str">
        <f>"MC4560"</f>
        <v>MC4560</v>
      </c>
      <c r="C9551" t="s">
        <v>9350</v>
      </c>
    </row>
    <row r="9552" spans="1:3" x14ac:dyDescent="0.25">
      <c r="A9552" t="str">
        <f>"0611832435100"</f>
        <v>0611832435100</v>
      </c>
      <c r="B9552" t="str">
        <f>"LK6113"</f>
        <v>LK6113</v>
      </c>
      <c r="C9552" t="s">
        <v>9331</v>
      </c>
    </row>
    <row r="9553" spans="1:3" x14ac:dyDescent="0.25">
      <c r="A9553" t="str">
        <f>"0611832436100"</f>
        <v>0611832436100</v>
      </c>
      <c r="B9553" t="str">
        <f>"LK6339"</f>
        <v>LK6339</v>
      </c>
      <c r="C9553" t="s">
        <v>9332</v>
      </c>
    </row>
    <row r="9554" spans="1:3" x14ac:dyDescent="0.25">
      <c r="A9554" t="str">
        <f>"0611832437100"</f>
        <v>0611832437100</v>
      </c>
      <c r="B9554" t="str">
        <f>"LL3155"</f>
        <v>LL3155</v>
      </c>
      <c r="C9554" t="s">
        <v>9333</v>
      </c>
    </row>
    <row r="9555" spans="1:3" x14ac:dyDescent="0.25">
      <c r="A9555" t="str">
        <f>"0611832438100"</f>
        <v>0611832438100</v>
      </c>
      <c r="B9555" t="str">
        <f>"LL8220"</f>
        <v>LL8220</v>
      </c>
      <c r="C9555" t="s">
        <v>9334</v>
      </c>
    </row>
    <row r="9556" spans="1:3" x14ac:dyDescent="0.25">
      <c r="A9556" t="str">
        <f>"0611832559100"</f>
        <v>0611832559100</v>
      </c>
      <c r="B9556" t="str">
        <f>"LL3147"</f>
        <v>LL3147</v>
      </c>
      <c r="C9556" t="s">
        <v>9335</v>
      </c>
    </row>
    <row r="9557" spans="1:3" x14ac:dyDescent="0.25">
      <c r="A9557" t="str">
        <f>"0611832439100"</f>
        <v>0611832439100</v>
      </c>
      <c r="B9557" t="str">
        <f>"LL8110"</f>
        <v>LL8110</v>
      </c>
      <c r="C9557" t="s">
        <v>9351</v>
      </c>
    </row>
    <row r="9558" spans="1:3" x14ac:dyDescent="0.25">
      <c r="A9558" t="str">
        <f>"0611832440100"</f>
        <v>0611832440100</v>
      </c>
      <c r="B9558" t="str">
        <f>"LL3160"</f>
        <v>LL3160</v>
      </c>
      <c r="C9558" t="s">
        <v>9352</v>
      </c>
    </row>
    <row r="9559" spans="1:3" x14ac:dyDescent="0.25">
      <c r="A9559" t="str">
        <f>"0611832441200"</f>
        <v>0611832441200</v>
      </c>
      <c r="B9559" t="str">
        <f>"KY3160"</f>
        <v>KY3160</v>
      </c>
      <c r="C9559" t="s">
        <v>9353</v>
      </c>
    </row>
    <row r="9560" spans="1:3" x14ac:dyDescent="0.25">
      <c r="A9560" t="str">
        <f>"0611832442100"</f>
        <v>0611832442100</v>
      </c>
      <c r="B9560" t="str">
        <f>"LL3161"</f>
        <v>LL3161</v>
      </c>
      <c r="C9560" t="s">
        <v>9354</v>
      </c>
    </row>
    <row r="9561" spans="1:3" x14ac:dyDescent="0.25">
      <c r="A9561" t="str">
        <f>"0611832443100"</f>
        <v>0611832443100</v>
      </c>
      <c r="B9561" t="str">
        <f>"LL8282"</f>
        <v>LL8282</v>
      </c>
      <c r="C9561" t="s">
        <v>9355</v>
      </c>
    </row>
    <row r="9562" spans="1:3" x14ac:dyDescent="0.25">
      <c r="A9562" t="str">
        <f>"0611832444100"</f>
        <v>0611832444100</v>
      </c>
      <c r="B9562" t="str">
        <f>"LL3166"</f>
        <v>LL3166</v>
      </c>
      <c r="C9562" t="s">
        <v>9356</v>
      </c>
    </row>
    <row r="9563" spans="1:3" x14ac:dyDescent="0.25">
      <c r="A9563" t="str">
        <f>"0611832445100"</f>
        <v>0611832445100</v>
      </c>
      <c r="B9563" t="str">
        <f>"LL3107"</f>
        <v>LL3107</v>
      </c>
      <c r="C9563" t="s">
        <v>9357</v>
      </c>
    </row>
    <row r="9564" spans="1:3" x14ac:dyDescent="0.25">
      <c r="A9564" t="str">
        <f>"0611832446100"</f>
        <v>0611832446100</v>
      </c>
      <c r="B9564" t="str">
        <f>"LL3167"</f>
        <v>LL3167</v>
      </c>
      <c r="C9564" t="s">
        <v>9358</v>
      </c>
    </row>
    <row r="9565" spans="1:3" x14ac:dyDescent="0.25">
      <c r="A9565" t="str">
        <f>"0611832447100"</f>
        <v>0611832447100</v>
      </c>
      <c r="B9565" t="str">
        <f>"LL3180"</f>
        <v>LL3180</v>
      </c>
      <c r="C9565" t="s">
        <v>9359</v>
      </c>
    </row>
    <row r="9566" spans="1:3" x14ac:dyDescent="0.25">
      <c r="A9566" t="str">
        <f>"0611832448100"</f>
        <v>0611832448100</v>
      </c>
      <c r="B9566" t="str">
        <f>"LL3073"</f>
        <v>LL3073</v>
      </c>
      <c r="C9566" t="s">
        <v>9360</v>
      </c>
    </row>
    <row r="9567" spans="1:3" x14ac:dyDescent="0.25">
      <c r="A9567" t="str">
        <f>"0611832449100"</f>
        <v>0611832449100</v>
      </c>
      <c r="B9567" t="str">
        <f>"LL3188"</f>
        <v>LL3188</v>
      </c>
      <c r="C9567" t="s">
        <v>9361</v>
      </c>
    </row>
    <row r="9568" spans="1:3" x14ac:dyDescent="0.25">
      <c r="A9568" t="str">
        <f>"0611837456100"</f>
        <v>0611837456100</v>
      </c>
      <c r="B9568" t="str">
        <f>"LL5018"</f>
        <v>LL5018</v>
      </c>
      <c r="C9568" t="s">
        <v>9362</v>
      </c>
    </row>
    <row r="9569" spans="1:3" x14ac:dyDescent="0.25">
      <c r="A9569" t="str">
        <f>"0611832450100"</f>
        <v>0611832450100</v>
      </c>
      <c r="B9569" t="str">
        <f>"LL0063"</f>
        <v>LL0063</v>
      </c>
      <c r="C9569" t="s">
        <v>9363</v>
      </c>
    </row>
    <row r="9570" spans="1:3" x14ac:dyDescent="0.25">
      <c r="A9570" t="str">
        <f>"0611837457100"</f>
        <v>0611837457100</v>
      </c>
      <c r="B9570" t="str">
        <f>"LL8290"</f>
        <v>LL8290</v>
      </c>
      <c r="C9570" t="s">
        <v>9364</v>
      </c>
    </row>
    <row r="9571" spans="1:3" x14ac:dyDescent="0.25">
      <c r="A9571" t="str">
        <f>"0611837458100"</f>
        <v>0611837458100</v>
      </c>
      <c r="B9571" t="str">
        <f>"LL8291"</f>
        <v>LL8291</v>
      </c>
      <c r="C9571" t="s">
        <v>9365</v>
      </c>
    </row>
    <row r="9572" spans="1:3" x14ac:dyDescent="0.25">
      <c r="A9572" t="str">
        <f>"0611832453100"</f>
        <v>0611832453100</v>
      </c>
      <c r="B9572" t="str">
        <f>"LL5019"</f>
        <v>LL5019</v>
      </c>
      <c r="C9572" t="s">
        <v>9366</v>
      </c>
    </row>
    <row r="9573" spans="1:3" x14ac:dyDescent="0.25">
      <c r="A9573" t="str">
        <f>"0611832454100"</f>
        <v>0611832454100</v>
      </c>
      <c r="B9573" t="str">
        <f>"LL3195"</f>
        <v>LL3195</v>
      </c>
      <c r="C9573" t="s">
        <v>9367</v>
      </c>
    </row>
    <row r="9574" spans="1:3" x14ac:dyDescent="0.25">
      <c r="A9574" t="str">
        <f>"0611832455100"</f>
        <v>0611832455100</v>
      </c>
      <c r="B9574" t="str">
        <f>"LL0050"</f>
        <v>LL0050</v>
      </c>
      <c r="C9574" t="s">
        <v>9368</v>
      </c>
    </row>
    <row r="9575" spans="1:3" x14ac:dyDescent="0.25">
      <c r="A9575" t="str">
        <f>"0611832456100"</f>
        <v>0611832456100</v>
      </c>
      <c r="B9575" t="str">
        <f>"LL3210"</f>
        <v>LL3210</v>
      </c>
      <c r="C9575" t="s">
        <v>9369</v>
      </c>
    </row>
    <row r="9576" spans="1:3" x14ac:dyDescent="0.25">
      <c r="A9576" t="str">
        <f>"0611832457100"</f>
        <v>0611832457100</v>
      </c>
      <c r="B9576" t="str">
        <f>"LL3131"</f>
        <v>LL3131</v>
      </c>
      <c r="C9576" t="s">
        <v>9370</v>
      </c>
    </row>
    <row r="9577" spans="1:3" x14ac:dyDescent="0.25">
      <c r="A9577" t="str">
        <f>"0611832458100"</f>
        <v>0611832458100</v>
      </c>
      <c r="B9577" t="str">
        <f>"LL3154"</f>
        <v>LL3154</v>
      </c>
      <c r="C9577" t="s">
        <v>9371</v>
      </c>
    </row>
    <row r="9578" spans="1:3" x14ac:dyDescent="0.25">
      <c r="A9578" t="str">
        <f>"0611832459100"</f>
        <v>0611832459100</v>
      </c>
      <c r="B9578" t="str">
        <f>"LL3440"</f>
        <v>LL3440</v>
      </c>
      <c r="C9578" t="s">
        <v>9372</v>
      </c>
    </row>
    <row r="9579" spans="1:3" x14ac:dyDescent="0.25">
      <c r="A9579" t="str">
        <f>"0611837459100"</f>
        <v>0611837459100</v>
      </c>
      <c r="B9579" t="str">
        <f>"LL5020"</f>
        <v>LL5020</v>
      </c>
      <c r="C9579" t="s">
        <v>9373</v>
      </c>
    </row>
    <row r="9580" spans="1:3" x14ac:dyDescent="0.25">
      <c r="A9580" t="str">
        <f>"0611832460100"</f>
        <v>0611832460100</v>
      </c>
      <c r="B9580" t="str">
        <f>"LL3220"</f>
        <v>LL3220</v>
      </c>
      <c r="C9580" t="s">
        <v>9374</v>
      </c>
    </row>
    <row r="9581" spans="1:3" x14ac:dyDescent="0.25">
      <c r="A9581" t="str">
        <f>"0611832461100"</f>
        <v>0611832461100</v>
      </c>
      <c r="B9581" t="str">
        <f>"LL0170"</f>
        <v>LL0170</v>
      </c>
      <c r="C9581" t="s">
        <v>9375</v>
      </c>
    </row>
    <row r="9582" spans="1:3" x14ac:dyDescent="0.25">
      <c r="A9582" t="str">
        <f>"0611832462100"</f>
        <v>0611832462100</v>
      </c>
      <c r="B9582" t="str">
        <f>"LL0044"</f>
        <v>LL0044</v>
      </c>
      <c r="C9582" t="s">
        <v>9376</v>
      </c>
    </row>
    <row r="9583" spans="1:3" x14ac:dyDescent="0.25">
      <c r="A9583" t="str">
        <f>"0611832463100"</f>
        <v>0611832463100</v>
      </c>
      <c r="B9583" t="str">
        <f>"LL3076"</f>
        <v>LL3076</v>
      </c>
      <c r="C9583" t="s">
        <v>9377</v>
      </c>
    </row>
    <row r="9584" spans="1:3" x14ac:dyDescent="0.25">
      <c r="A9584" t="str">
        <f>"0611832465100"</f>
        <v>0611832465100</v>
      </c>
      <c r="B9584" t="str">
        <f>"LL0045"</f>
        <v>LL0045</v>
      </c>
      <c r="C9584" t="s">
        <v>9378</v>
      </c>
    </row>
    <row r="9585" spans="1:3" x14ac:dyDescent="0.25">
      <c r="A9585" t="str">
        <f>"0611832466100"</f>
        <v>0611832466100</v>
      </c>
      <c r="B9585" t="str">
        <f>"LL8283"</f>
        <v>LL8283</v>
      </c>
      <c r="C9585" t="s">
        <v>9379</v>
      </c>
    </row>
    <row r="9586" spans="1:3" x14ac:dyDescent="0.25">
      <c r="A9586" t="str">
        <f>"0611837460100"</f>
        <v>0611837460100</v>
      </c>
      <c r="B9586" t="str">
        <f>"LL8331"</f>
        <v>LL8331</v>
      </c>
      <c r="C9586" t="s">
        <v>9380</v>
      </c>
    </row>
    <row r="9587" spans="1:3" x14ac:dyDescent="0.25">
      <c r="A9587" t="str">
        <f>"0611832467100"</f>
        <v>0611832467100</v>
      </c>
      <c r="B9587" t="str">
        <f>"LL8221"</f>
        <v>LL8221</v>
      </c>
      <c r="C9587" t="s">
        <v>9381</v>
      </c>
    </row>
    <row r="9588" spans="1:3" x14ac:dyDescent="0.25">
      <c r="A9588" t="str">
        <f>"0611832468100"</f>
        <v>0611832468100</v>
      </c>
      <c r="B9588" t="str">
        <f>"LL8120"</f>
        <v>LL8120</v>
      </c>
      <c r="C9588" t="s">
        <v>9382</v>
      </c>
    </row>
    <row r="9589" spans="1:3" x14ac:dyDescent="0.25">
      <c r="A9589" t="str">
        <f>"0611832469100"</f>
        <v>0611832469100</v>
      </c>
      <c r="B9589" t="str">
        <f>"LL3087"</f>
        <v>LL3087</v>
      </c>
      <c r="C9589" t="s">
        <v>9383</v>
      </c>
    </row>
    <row r="9590" spans="1:3" x14ac:dyDescent="0.25">
      <c r="A9590" t="str">
        <f>"0611832470100"</f>
        <v>0611832470100</v>
      </c>
      <c r="B9590" t="str">
        <f>"LL3185"</f>
        <v>LL3185</v>
      </c>
      <c r="C9590" t="s">
        <v>9384</v>
      </c>
    </row>
    <row r="9591" spans="1:3" x14ac:dyDescent="0.25">
      <c r="A9591" t="str">
        <f>"0611832471100"</f>
        <v>0611832471100</v>
      </c>
      <c r="B9591" t="str">
        <f>"LB5807"</f>
        <v>LB5807</v>
      </c>
      <c r="C9591" t="s">
        <v>9385</v>
      </c>
    </row>
    <row r="9592" spans="1:3" x14ac:dyDescent="0.25">
      <c r="A9592" t="str">
        <f>"0611832472100"</f>
        <v>0611832472100</v>
      </c>
      <c r="B9592" t="str">
        <f>"LL3243"</f>
        <v>LL3243</v>
      </c>
      <c r="C9592" t="s">
        <v>9386</v>
      </c>
    </row>
    <row r="9593" spans="1:3" x14ac:dyDescent="0.25">
      <c r="A9593" t="str">
        <f>"0611832473100"</f>
        <v>0611832473100</v>
      </c>
      <c r="B9593" t="str">
        <f>"LB0197"</f>
        <v>LB0197</v>
      </c>
      <c r="C9593" t="s">
        <v>9387</v>
      </c>
    </row>
    <row r="9594" spans="1:3" x14ac:dyDescent="0.25">
      <c r="A9594" t="str">
        <f>"0611832474100"</f>
        <v>0611832474100</v>
      </c>
      <c r="B9594" t="str">
        <f>"LL3245"</f>
        <v>LL3245</v>
      </c>
      <c r="C9594" t="s">
        <v>9388</v>
      </c>
    </row>
    <row r="9595" spans="1:3" x14ac:dyDescent="0.25">
      <c r="A9595" t="str">
        <f>"0611837461100"</f>
        <v>0611837461100</v>
      </c>
      <c r="B9595" t="str">
        <f>"LL8222"</f>
        <v>LL8222</v>
      </c>
      <c r="C9595" t="s">
        <v>9389</v>
      </c>
    </row>
    <row r="9596" spans="1:3" x14ac:dyDescent="0.25">
      <c r="A9596" t="str">
        <f>"0611832475100"</f>
        <v>0611832475100</v>
      </c>
      <c r="B9596" t="str">
        <f>"LL3249"</f>
        <v>LL3249</v>
      </c>
      <c r="C9596" t="s">
        <v>9390</v>
      </c>
    </row>
    <row r="9597" spans="1:3" x14ac:dyDescent="0.25">
      <c r="A9597" t="str">
        <f>"0611832476100"</f>
        <v>0611832476100</v>
      </c>
      <c r="B9597" t="str">
        <f>"LL8316"</f>
        <v>LL8316</v>
      </c>
      <c r="C9597" t="s">
        <v>9391</v>
      </c>
    </row>
    <row r="9598" spans="1:3" x14ac:dyDescent="0.25">
      <c r="A9598" t="str">
        <f>"0611832477100"</f>
        <v>0611832477100</v>
      </c>
      <c r="B9598" t="str">
        <f>"LK6264"</f>
        <v>LK6264</v>
      </c>
      <c r="C9598" t="s">
        <v>9392</v>
      </c>
    </row>
    <row r="9599" spans="1:3" x14ac:dyDescent="0.25">
      <c r="A9599" t="str">
        <f>"0611832478100"</f>
        <v>0611832478100</v>
      </c>
      <c r="B9599" t="str">
        <f>"LL0123"</f>
        <v>LL0123</v>
      </c>
      <c r="C9599" t="s">
        <v>9393</v>
      </c>
    </row>
    <row r="9600" spans="1:3" x14ac:dyDescent="0.25">
      <c r="A9600" t="str">
        <f>"0611832479100"</f>
        <v>0611832479100</v>
      </c>
      <c r="B9600" t="str">
        <f>"LL0124"</f>
        <v>LL0124</v>
      </c>
      <c r="C9600" t="s">
        <v>9394</v>
      </c>
    </row>
    <row r="9601" spans="1:3" x14ac:dyDescent="0.25">
      <c r="A9601" t="str">
        <f>"0611837463100"</f>
        <v>0611837463100</v>
      </c>
      <c r="B9601" t="str">
        <f>"LL4840"</f>
        <v>LL4840</v>
      </c>
      <c r="C9601" t="s">
        <v>9395</v>
      </c>
    </row>
    <row r="9602" spans="1:3" x14ac:dyDescent="0.25">
      <c r="A9602" t="str">
        <f>"0611832480100"</f>
        <v>0611832480100</v>
      </c>
      <c r="B9602" t="str">
        <f>"LL8125"</f>
        <v>LL8125</v>
      </c>
      <c r="C9602" t="s">
        <v>9396</v>
      </c>
    </row>
    <row r="9603" spans="1:3" x14ac:dyDescent="0.25">
      <c r="A9603" t="str">
        <f>"0611832481100"</f>
        <v>0611832481100</v>
      </c>
      <c r="B9603" t="str">
        <f>"LL3125"</f>
        <v>LL3125</v>
      </c>
      <c r="C9603" t="s">
        <v>9397</v>
      </c>
    </row>
    <row r="9604" spans="1:3" x14ac:dyDescent="0.25">
      <c r="A9604" t="str">
        <f>"0611832483100"</f>
        <v>0611832483100</v>
      </c>
      <c r="B9604" t="str">
        <f>"LL8223"</f>
        <v>LL8223</v>
      </c>
      <c r="C9604" t="s">
        <v>9398</v>
      </c>
    </row>
    <row r="9605" spans="1:3" x14ac:dyDescent="0.25">
      <c r="A9605" t="str">
        <f>"0611832320100"</f>
        <v>0611832320100</v>
      </c>
      <c r="B9605" t="str">
        <f>"LL4853"</f>
        <v>LL4853</v>
      </c>
      <c r="C9605" t="s">
        <v>9399</v>
      </c>
    </row>
    <row r="9606" spans="1:3" x14ac:dyDescent="0.25">
      <c r="A9606" t="str">
        <f>"0611832484100"</f>
        <v>0611832484100</v>
      </c>
      <c r="B9606" t="str">
        <f>"LL3142"</f>
        <v>LL3142</v>
      </c>
      <c r="C9606" t="s">
        <v>9400</v>
      </c>
    </row>
    <row r="9607" spans="1:3" x14ac:dyDescent="0.25">
      <c r="A9607" t="str">
        <f>"0611832485100"</f>
        <v>0611832485100</v>
      </c>
      <c r="B9607" t="str">
        <f>"LK5546"</f>
        <v>LK5546</v>
      </c>
      <c r="C9607" t="s">
        <v>9401</v>
      </c>
    </row>
    <row r="9608" spans="1:3" x14ac:dyDescent="0.25">
      <c r="A9608" t="str">
        <f>"0611884355100"</f>
        <v>0611884355100</v>
      </c>
      <c r="B9608" t="str">
        <f>"LK7174"</f>
        <v>LK7174</v>
      </c>
      <c r="C9608" t="s">
        <v>9402</v>
      </c>
    </row>
    <row r="9609" spans="1:3" x14ac:dyDescent="0.25">
      <c r="A9609" t="str">
        <f>"0611832486100"</f>
        <v>0611832486100</v>
      </c>
      <c r="B9609" t="str">
        <f>"LK6340"</f>
        <v>LK6340</v>
      </c>
      <c r="C9609" t="s">
        <v>9403</v>
      </c>
    </row>
    <row r="9610" spans="1:3" x14ac:dyDescent="0.25">
      <c r="A9610" t="str">
        <f>"0611832487100"</f>
        <v>0611832487100</v>
      </c>
      <c r="B9610" t="str">
        <f>"LL4873"</f>
        <v>LL4873</v>
      </c>
      <c r="C9610" t="s">
        <v>9404</v>
      </c>
    </row>
    <row r="9611" spans="1:3" x14ac:dyDescent="0.25">
      <c r="A9611" t="str">
        <f>"0611832488100"</f>
        <v>0611832488100</v>
      </c>
      <c r="B9611" t="str">
        <f>"LL0166"</f>
        <v>LL0166</v>
      </c>
      <c r="C9611" t="s">
        <v>9405</v>
      </c>
    </row>
    <row r="9612" spans="1:3" x14ac:dyDescent="0.25">
      <c r="A9612" t="str">
        <f>"0611832489100"</f>
        <v>0611832489100</v>
      </c>
      <c r="B9612" t="str">
        <f>"LL8079"</f>
        <v>LL8079</v>
      </c>
      <c r="C9612" t="s">
        <v>9406</v>
      </c>
    </row>
    <row r="9613" spans="1:3" x14ac:dyDescent="0.25">
      <c r="A9613" t="str">
        <f>"0611832490100"</f>
        <v>0611832490100</v>
      </c>
      <c r="B9613" t="str">
        <f>"LL3084"</f>
        <v>LL3084</v>
      </c>
      <c r="C9613" t="s">
        <v>9407</v>
      </c>
    </row>
    <row r="9614" spans="1:3" x14ac:dyDescent="0.25">
      <c r="A9614" t="str">
        <f>"0611832492100"</f>
        <v>0611832492100</v>
      </c>
      <c r="B9614" t="str">
        <f>"LL8080"</f>
        <v>LL8080</v>
      </c>
      <c r="C9614" t="s">
        <v>9408</v>
      </c>
    </row>
    <row r="9615" spans="1:3" x14ac:dyDescent="0.25">
      <c r="A9615" t="str">
        <f>"0611832493100"</f>
        <v>0611832493100</v>
      </c>
      <c r="B9615" t="str">
        <f>"LL3112"</f>
        <v>LL3112</v>
      </c>
      <c r="C9615" t="s">
        <v>9409</v>
      </c>
    </row>
    <row r="9616" spans="1:3" x14ac:dyDescent="0.25">
      <c r="A9616" t="str">
        <f>"0611832495100"</f>
        <v>0611832495100</v>
      </c>
      <c r="B9616" t="str">
        <f>"LL3270"</f>
        <v>LL3270</v>
      </c>
      <c r="C9616" t="s">
        <v>9410</v>
      </c>
    </row>
    <row r="9617" spans="1:3" x14ac:dyDescent="0.25">
      <c r="A9617" t="str">
        <f>"0611832496100"</f>
        <v>0611832496100</v>
      </c>
      <c r="B9617" t="str">
        <f>"LL0130"</f>
        <v>LL0130</v>
      </c>
      <c r="C9617" t="s">
        <v>9411</v>
      </c>
    </row>
    <row r="9618" spans="1:3" x14ac:dyDescent="0.25">
      <c r="A9618" t="str">
        <f>"0611832497100"</f>
        <v>0611832497100</v>
      </c>
      <c r="B9618" t="str">
        <f>"LL0131"</f>
        <v>LL0131</v>
      </c>
      <c r="C9618" t="s">
        <v>9412</v>
      </c>
    </row>
    <row r="9619" spans="1:3" x14ac:dyDescent="0.25">
      <c r="A9619" t="str">
        <f>"0611837464100"</f>
        <v>0611837464100</v>
      </c>
      <c r="B9619" t="str">
        <f>"LL8292"</f>
        <v>LL8292</v>
      </c>
      <c r="C9619" t="s">
        <v>9414</v>
      </c>
    </row>
    <row r="9620" spans="1:3" x14ac:dyDescent="0.25">
      <c r="A9620" t="str">
        <f>"0611832498100"</f>
        <v>0611832498100</v>
      </c>
      <c r="B9620" t="str">
        <f>"LL8026"</f>
        <v>LL8026</v>
      </c>
      <c r="C9620" t="s">
        <v>9413</v>
      </c>
    </row>
    <row r="9621" spans="1:3" x14ac:dyDescent="0.25">
      <c r="A9621" t="str">
        <f>"0611832499100"</f>
        <v>0611832499100</v>
      </c>
      <c r="B9621" t="str">
        <f>"LL3067"</f>
        <v>LL3067</v>
      </c>
      <c r="C9621" t="s">
        <v>9415</v>
      </c>
    </row>
    <row r="9622" spans="1:3" x14ac:dyDescent="0.25">
      <c r="A9622" t="str">
        <f>"0611837465100"</f>
        <v>0611837465100</v>
      </c>
      <c r="B9622" t="str">
        <f>"LF0034"</f>
        <v>LF0034</v>
      </c>
      <c r="C9622" t="s">
        <v>9416</v>
      </c>
    </row>
    <row r="9623" spans="1:3" x14ac:dyDescent="0.25">
      <c r="A9623" t="str">
        <f>"0611837466100"</f>
        <v>0611837466100</v>
      </c>
      <c r="B9623" t="str">
        <f>"LF0035"</f>
        <v>LF0035</v>
      </c>
      <c r="C9623" t="s">
        <v>9417</v>
      </c>
    </row>
    <row r="9624" spans="1:3" x14ac:dyDescent="0.25">
      <c r="A9624" t="str">
        <f>"0611832501100"</f>
        <v>0611832501100</v>
      </c>
      <c r="B9624" t="str">
        <f>"LL0183"</f>
        <v>LL0183</v>
      </c>
      <c r="C9624" t="s">
        <v>9418</v>
      </c>
    </row>
    <row r="9625" spans="1:3" x14ac:dyDescent="0.25">
      <c r="A9625" t="str">
        <f>"0611832502100"</f>
        <v>0611832502100</v>
      </c>
      <c r="B9625" t="str">
        <f>"LL1705"</f>
        <v>LL1705</v>
      </c>
      <c r="C9625" t="s">
        <v>9419</v>
      </c>
    </row>
    <row r="9626" spans="1:3" x14ac:dyDescent="0.25">
      <c r="A9626" t="str">
        <f>"0611832503100"</f>
        <v>0611832503100</v>
      </c>
      <c r="B9626" t="str">
        <f>"LL1703"</f>
        <v>LL1703</v>
      </c>
      <c r="C9626" t="s">
        <v>9420</v>
      </c>
    </row>
    <row r="9627" spans="1:3" x14ac:dyDescent="0.25">
      <c r="A9627" t="str">
        <f>"0611832504100"</f>
        <v>0611832504100</v>
      </c>
      <c r="B9627" t="str">
        <f>"LL1704"</f>
        <v>LL1704</v>
      </c>
      <c r="C9627" t="s">
        <v>9421</v>
      </c>
    </row>
    <row r="9628" spans="1:3" x14ac:dyDescent="0.25">
      <c r="A9628" t="str">
        <f>"0611837467100"</f>
        <v>0611837467100</v>
      </c>
      <c r="B9628" t="str">
        <f>"LL3290"</f>
        <v>LL3290</v>
      </c>
      <c r="C9628" t="s">
        <v>9422</v>
      </c>
    </row>
    <row r="9629" spans="1:3" x14ac:dyDescent="0.25">
      <c r="A9629" t="str">
        <f>"0611832505100"</f>
        <v>0611832505100</v>
      </c>
      <c r="B9629" t="str">
        <f>"LL8224"</f>
        <v>LL8224</v>
      </c>
      <c r="C9629" t="s">
        <v>9423</v>
      </c>
    </row>
    <row r="9630" spans="1:3" x14ac:dyDescent="0.25">
      <c r="A9630" t="str">
        <f>"0611837468100"</f>
        <v>0611837468100</v>
      </c>
      <c r="B9630" t="str">
        <f>"LL8225"</f>
        <v>LL8225</v>
      </c>
      <c r="C9630" t="s">
        <v>9424</v>
      </c>
    </row>
    <row r="9631" spans="1:3" x14ac:dyDescent="0.25">
      <c r="A9631" t="str">
        <f>"0611832506100"</f>
        <v>0611832506100</v>
      </c>
      <c r="B9631" t="str">
        <f>"LL0185"</f>
        <v>LL0185</v>
      </c>
      <c r="C9631" t="s">
        <v>9425</v>
      </c>
    </row>
    <row r="9632" spans="1:3" x14ac:dyDescent="0.25">
      <c r="A9632" t="str">
        <f>"0611832507100"</f>
        <v>0611832507100</v>
      </c>
      <c r="B9632" t="str">
        <f>"LL8152"</f>
        <v>LL8152</v>
      </c>
      <c r="C9632" t="s">
        <v>9426</v>
      </c>
    </row>
    <row r="9633" spans="1:3" x14ac:dyDescent="0.25">
      <c r="A9633" t="str">
        <f>"0611837470100"</f>
        <v>0611837470100</v>
      </c>
      <c r="B9633" t="str">
        <f>"LL0046"</f>
        <v>LL0046</v>
      </c>
      <c r="C9633" t="s">
        <v>9427</v>
      </c>
    </row>
    <row r="9634" spans="1:3" x14ac:dyDescent="0.25">
      <c r="A9634" t="str">
        <f>"0611884357100"</f>
        <v>0611884357100</v>
      </c>
      <c r="B9634" t="str">
        <f>"LL5063"</f>
        <v>LL5063</v>
      </c>
      <c r="C9634" t="s">
        <v>9428</v>
      </c>
    </row>
    <row r="9635" spans="1:3" x14ac:dyDescent="0.25">
      <c r="A9635" t="str">
        <f>"0611832508100"</f>
        <v>0611832508100</v>
      </c>
      <c r="B9635" t="str">
        <f>"LL3146"</f>
        <v>LL3146</v>
      </c>
      <c r="C9635" t="s">
        <v>9429</v>
      </c>
    </row>
    <row r="9636" spans="1:3" x14ac:dyDescent="0.25">
      <c r="A9636" t="str">
        <f>"0611832509100"</f>
        <v>0611832509100</v>
      </c>
      <c r="B9636" t="str">
        <f>"LK3958"</f>
        <v>LK3958</v>
      </c>
      <c r="C9636" t="s">
        <v>9430</v>
      </c>
    </row>
    <row r="9637" spans="1:3" x14ac:dyDescent="0.25">
      <c r="A9637" t="str">
        <f>"0611857055100"</f>
        <v>0611857055100</v>
      </c>
      <c r="B9637" t="str">
        <f>"LL5057"</f>
        <v>LL5057</v>
      </c>
      <c r="C9637" t="s">
        <v>9431</v>
      </c>
    </row>
    <row r="9638" spans="1:3" x14ac:dyDescent="0.25">
      <c r="A9638" t="str">
        <f>"0611832510100"</f>
        <v>0611832510100</v>
      </c>
      <c r="B9638" t="str">
        <f>"LL4020"</f>
        <v>LL4020</v>
      </c>
      <c r="C9638" t="s">
        <v>9432</v>
      </c>
    </row>
    <row r="9639" spans="1:3" x14ac:dyDescent="0.25">
      <c r="A9639" t="str">
        <f>"0611832511100"</f>
        <v>0611832511100</v>
      </c>
      <c r="B9639" t="str">
        <f>"LL8081"</f>
        <v>LL8081</v>
      </c>
      <c r="C9639" t="s">
        <v>9433</v>
      </c>
    </row>
    <row r="9640" spans="1:3" x14ac:dyDescent="0.25">
      <c r="A9640" t="str">
        <f>"0611857056100"</f>
        <v>0611857056100</v>
      </c>
      <c r="B9640" t="str">
        <f>"LL5044"</f>
        <v>LL5044</v>
      </c>
      <c r="C9640" t="s">
        <v>9434</v>
      </c>
    </row>
    <row r="9641" spans="1:3" x14ac:dyDescent="0.25">
      <c r="A9641" t="str">
        <f>"0611832512100"</f>
        <v>0611832512100</v>
      </c>
      <c r="B9641" t="str">
        <f>"LL3330"</f>
        <v>LL3330</v>
      </c>
      <c r="C9641" t="s">
        <v>9435</v>
      </c>
    </row>
    <row r="9642" spans="1:3" x14ac:dyDescent="0.25">
      <c r="A9642" t="str">
        <f>"0611837471100"</f>
        <v>0611837471100</v>
      </c>
      <c r="B9642" t="str">
        <f>"LL0029"</f>
        <v>LL0029</v>
      </c>
      <c r="C9642" t="s">
        <v>9436</v>
      </c>
    </row>
    <row r="9643" spans="1:3" x14ac:dyDescent="0.25">
      <c r="A9643" t="str">
        <f>"0611906880100"</f>
        <v>0611906880100</v>
      </c>
      <c r="B9643" t="str">
        <f>"LL8347"</f>
        <v>LL8347</v>
      </c>
      <c r="C9643" t="s">
        <v>9437</v>
      </c>
    </row>
    <row r="9644" spans="1:3" x14ac:dyDescent="0.25">
      <c r="A9644" t="str">
        <f>"0611832513100"</f>
        <v>0611832513100</v>
      </c>
      <c r="B9644" t="str">
        <f>"LL4021"</f>
        <v>LL4021</v>
      </c>
      <c r="C9644" t="s">
        <v>9438</v>
      </c>
    </row>
    <row r="9645" spans="1:3" x14ac:dyDescent="0.25">
      <c r="A9645" t="str">
        <f>"0611832514100"</f>
        <v>0611832514100</v>
      </c>
      <c r="B9645" t="str">
        <f>"LB5809"</f>
        <v>LB5809</v>
      </c>
      <c r="C9645" t="s">
        <v>9439</v>
      </c>
    </row>
    <row r="9646" spans="1:3" x14ac:dyDescent="0.25">
      <c r="A9646" t="str">
        <f>"0611832515100"</f>
        <v>0611832515100</v>
      </c>
      <c r="B9646" t="str">
        <f>"LL0064"</f>
        <v>LL0064</v>
      </c>
      <c r="C9646" t="s">
        <v>9440</v>
      </c>
    </row>
    <row r="9647" spans="1:3" x14ac:dyDescent="0.25">
      <c r="A9647" t="str">
        <f>"0611837472100"</f>
        <v>0611837472100</v>
      </c>
      <c r="B9647" t="str">
        <f>"LL4841"</f>
        <v>LL4841</v>
      </c>
      <c r="C9647" t="s">
        <v>9441</v>
      </c>
    </row>
    <row r="9648" spans="1:3" x14ac:dyDescent="0.25">
      <c r="A9648" t="str">
        <f>"0611832516100"</f>
        <v>0611832516100</v>
      </c>
      <c r="B9648" t="str">
        <f>"LL2184"</f>
        <v>LL2184</v>
      </c>
      <c r="C9648" t="s">
        <v>9442</v>
      </c>
    </row>
    <row r="9649" spans="1:3" x14ac:dyDescent="0.25">
      <c r="A9649" t="str">
        <f>"0611832517100"</f>
        <v>0611832517100</v>
      </c>
      <c r="B9649" t="str">
        <f>"LL8082"</f>
        <v>LL8082</v>
      </c>
      <c r="C9649" t="s">
        <v>9443</v>
      </c>
    </row>
    <row r="9650" spans="1:3" x14ac:dyDescent="0.25">
      <c r="A9650" t="str">
        <f>"0611837473100"</f>
        <v>0611837473100</v>
      </c>
      <c r="B9650" t="str">
        <f>"LL0030"</f>
        <v>LL0030</v>
      </c>
      <c r="C9650" t="s">
        <v>9444</v>
      </c>
    </row>
    <row r="9651" spans="1:3" x14ac:dyDescent="0.25">
      <c r="A9651" t="str">
        <f>"0611837474100"</f>
        <v>0611837474100</v>
      </c>
      <c r="B9651" t="str">
        <f>"LL3340"</f>
        <v>LL3340</v>
      </c>
      <c r="C9651" t="s">
        <v>9445</v>
      </c>
    </row>
    <row r="9652" spans="1:3" x14ac:dyDescent="0.25">
      <c r="A9652" t="str">
        <f>"0611832518100"</f>
        <v>0611832518100</v>
      </c>
      <c r="B9652" t="str">
        <f>"LK2316"</f>
        <v>LK2316</v>
      </c>
      <c r="C9652" t="s">
        <v>9446</v>
      </c>
    </row>
    <row r="9653" spans="1:3" x14ac:dyDescent="0.25">
      <c r="A9653" t="str">
        <f>"0611832519100"</f>
        <v>0611832519100</v>
      </c>
      <c r="B9653" t="str">
        <f>"LK6762"</f>
        <v>LK6762</v>
      </c>
      <c r="C9653" t="s">
        <v>9447</v>
      </c>
    </row>
    <row r="9654" spans="1:3" x14ac:dyDescent="0.25">
      <c r="A9654" t="str">
        <f>"0611832520100"</f>
        <v>0611832520100</v>
      </c>
      <c r="B9654" t="str">
        <f>"LK2317"</f>
        <v>LK2317</v>
      </c>
      <c r="C9654" t="s">
        <v>9448</v>
      </c>
    </row>
    <row r="9655" spans="1:3" x14ac:dyDescent="0.25">
      <c r="A9655" t="str">
        <f>"0611832521100"</f>
        <v>0611832521100</v>
      </c>
      <c r="B9655" t="str">
        <f>"LK2319"</f>
        <v>LK2319</v>
      </c>
      <c r="C9655" t="s">
        <v>9449</v>
      </c>
    </row>
    <row r="9656" spans="1:3" x14ac:dyDescent="0.25">
      <c r="A9656" t="str">
        <f>"0611884358100"</f>
        <v>0611884358100</v>
      </c>
      <c r="B9656" t="str">
        <f>"LL8343"</f>
        <v>LL8343</v>
      </c>
      <c r="C9656" t="s">
        <v>9450</v>
      </c>
    </row>
    <row r="9657" spans="1:3" x14ac:dyDescent="0.25">
      <c r="A9657" t="str">
        <f>"0611832523100"</f>
        <v>0611832523100</v>
      </c>
      <c r="B9657" t="str">
        <f>"LK3959"</f>
        <v>LK3959</v>
      </c>
      <c r="C9657" t="s">
        <v>9451</v>
      </c>
    </row>
    <row r="9658" spans="1:3" x14ac:dyDescent="0.25">
      <c r="A9658" t="str">
        <f>"0611832524100"</f>
        <v>0611832524100</v>
      </c>
      <c r="B9658" t="str">
        <f>"LL3431"</f>
        <v>LL3431</v>
      </c>
      <c r="C9658" t="s">
        <v>9452</v>
      </c>
    </row>
    <row r="9659" spans="1:3" x14ac:dyDescent="0.25">
      <c r="A9659" t="str">
        <f>"0611837475100"</f>
        <v>0611837475100</v>
      </c>
      <c r="B9659" t="str">
        <f>"LL8293"</f>
        <v>LL8293</v>
      </c>
      <c r="C9659" t="s">
        <v>9453</v>
      </c>
    </row>
    <row r="9660" spans="1:3" x14ac:dyDescent="0.25">
      <c r="A9660" t="str">
        <f>"0611837476100"</f>
        <v>0611837476100</v>
      </c>
      <c r="B9660" t="str">
        <f>"LL8294"</f>
        <v>LL8294</v>
      </c>
      <c r="C9660" t="s">
        <v>9454</v>
      </c>
    </row>
    <row r="9661" spans="1:3" x14ac:dyDescent="0.25">
      <c r="A9661" t="str">
        <f>"0611832526100"</f>
        <v>0611832526100</v>
      </c>
      <c r="B9661" t="str">
        <f>"LL3126"</f>
        <v>LL3126</v>
      </c>
      <c r="C9661" t="s">
        <v>9455</v>
      </c>
    </row>
    <row r="9662" spans="1:3" x14ac:dyDescent="0.25">
      <c r="A9662" t="str">
        <f>"0611832527100"</f>
        <v>0611832527100</v>
      </c>
      <c r="B9662" t="str">
        <f>"LK6114"</f>
        <v>LK6114</v>
      </c>
      <c r="C9662" t="s">
        <v>9456</v>
      </c>
    </row>
    <row r="9663" spans="1:3" x14ac:dyDescent="0.25">
      <c r="A9663" t="str">
        <f>"0611832528100"</f>
        <v>0611832528100</v>
      </c>
      <c r="B9663" t="str">
        <f>"LL3350"</f>
        <v>LL3350</v>
      </c>
      <c r="C9663" t="s">
        <v>9457</v>
      </c>
    </row>
    <row r="9664" spans="1:3" x14ac:dyDescent="0.25">
      <c r="A9664" t="str">
        <f>"0611832529100"</f>
        <v>0611832529100</v>
      </c>
      <c r="B9664" t="str">
        <f>"LL3157"</f>
        <v>LL3157</v>
      </c>
      <c r="C9664" t="s">
        <v>9458</v>
      </c>
    </row>
    <row r="9665" spans="1:3" x14ac:dyDescent="0.25">
      <c r="A9665" t="str">
        <f>"0611832530100"</f>
        <v>0611832530100</v>
      </c>
      <c r="B9665" t="str">
        <f>"LL0065"</f>
        <v>LL0065</v>
      </c>
      <c r="C9665" t="s">
        <v>9459</v>
      </c>
    </row>
    <row r="9666" spans="1:3" x14ac:dyDescent="0.25">
      <c r="A9666" t="str">
        <f>"0611832531100"</f>
        <v>0611832531100</v>
      </c>
      <c r="B9666" t="str">
        <f>"LL0031"</f>
        <v>LL0031</v>
      </c>
      <c r="C9666" t="s">
        <v>9460</v>
      </c>
    </row>
    <row r="9667" spans="1:3" x14ac:dyDescent="0.25">
      <c r="A9667" t="str">
        <f>"0611832533100"</f>
        <v>0611832533100</v>
      </c>
      <c r="B9667" t="str">
        <f>"LL3079"</f>
        <v>LL3079</v>
      </c>
      <c r="C9667" t="s">
        <v>9461</v>
      </c>
    </row>
    <row r="9668" spans="1:3" x14ac:dyDescent="0.25">
      <c r="A9668" t="str">
        <f>"0611832534100"</f>
        <v>0611832534100</v>
      </c>
      <c r="B9668" t="str">
        <f>"LL8126"</f>
        <v>LL8126</v>
      </c>
      <c r="C9668" t="s">
        <v>9462</v>
      </c>
    </row>
    <row r="9669" spans="1:3" x14ac:dyDescent="0.25">
      <c r="A9669" t="str">
        <f>"0611832535100"</f>
        <v>0611832535100</v>
      </c>
      <c r="B9669" t="str">
        <f>"LL8317"</f>
        <v>LL8317</v>
      </c>
      <c r="C9669" t="s">
        <v>9463</v>
      </c>
    </row>
    <row r="9670" spans="1:3" x14ac:dyDescent="0.25">
      <c r="A9670" t="str">
        <f>"0611832536100"</f>
        <v>0611832536100</v>
      </c>
      <c r="B9670" t="str">
        <f>"LL3360"</f>
        <v>LL3360</v>
      </c>
      <c r="C9670" t="s">
        <v>9464</v>
      </c>
    </row>
    <row r="9671" spans="1:3" x14ac:dyDescent="0.25">
      <c r="A9671" t="str">
        <f>"0611832537100"</f>
        <v>0611832537100</v>
      </c>
      <c r="B9671" t="str">
        <f>"LL3362"</f>
        <v>LL3362</v>
      </c>
      <c r="C9671" t="s">
        <v>9465</v>
      </c>
    </row>
    <row r="9672" spans="1:3" x14ac:dyDescent="0.25">
      <c r="A9672" t="str">
        <f>"0611832538100"</f>
        <v>0611832538100</v>
      </c>
      <c r="B9672" t="str">
        <f>"LL3363"</f>
        <v>LL3363</v>
      </c>
      <c r="C9672" t="s">
        <v>9466</v>
      </c>
    </row>
    <row r="9673" spans="1:3" x14ac:dyDescent="0.25">
      <c r="A9673" t="str">
        <f>"0611832539100"</f>
        <v>0611832539100</v>
      </c>
      <c r="B9673" t="str">
        <f>"LL3365"</f>
        <v>LL3365</v>
      </c>
      <c r="C9673" t="s">
        <v>9467</v>
      </c>
    </row>
    <row r="9674" spans="1:3" x14ac:dyDescent="0.25">
      <c r="A9674" t="str">
        <f>"0611832540100"</f>
        <v>0611832540100</v>
      </c>
      <c r="B9674" t="str">
        <f>"LL3176"</f>
        <v>LL3176</v>
      </c>
      <c r="C9674" t="s">
        <v>9468</v>
      </c>
    </row>
    <row r="9675" spans="1:3" x14ac:dyDescent="0.25">
      <c r="A9675" t="str">
        <f>"0611837478100"</f>
        <v>0611837478100</v>
      </c>
      <c r="B9675" t="str">
        <f>"LL0167"</f>
        <v>LL0167</v>
      </c>
      <c r="C9675" t="s">
        <v>9469</v>
      </c>
    </row>
    <row r="9676" spans="1:3" x14ac:dyDescent="0.25">
      <c r="A9676" t="str">
        <f>"0611832541100"</f>
        <v>0611832541100</v>
      </c>
      <c r="B9676" t="str">
        <f>"LL3117"</f>
        <v>LL3117</v>
      </c>
      <c r="C9676" t="s">
        <v>9470</v>
      </c>
    </row>
    <row r="9677" spans="1:3" x14ac:dyDescent="0.25">
      <c r="A9677" t="str">
        <f>"0611832542100"</f>
        <v>0611832542100</v>
      </c>
      <c r="B9677" t="str">
        <f>"LL3369"</f>
        <v>LL3369</v>
      </c>
      <c r="C9677" t="s">
        <v>9471</v>
      </c>
    </row>
    <row r="9678" spans="1:3" x14ac:dyDescent="0.25">
      <c r="A9678" t="str">
        <f>"0611832543100"</f>
        <v>0611832543100</v>
      </c>
      <c r="B9678" t="str">
        <f>"LL3375"</f>
        <v>LL3375</v>
      </c>
      <c r="C9678" t="s">
        <v>9472</v>
      </c>
    </row>
    <row r="9679" spans="1:3" x14ac:dyDescent="0.25">
      <c r="A9679" t="str">
        <f>"0611832544200"</f>
        <v>0611832544200</v>
      </c>
      <c r="B9679" t="str">
        <f>"KY3375"</f>
        <v>KY3375</v>
      </c>
      <c r="C9679" t="s">
        <v>9473</v>
      </c>
    </row>
    <row r="9680" spans="1:3" x14ac:dyDescent="0.25">
      <c r="A9680" t="str">
        <f>"0611832545100"</f>
        <v>0611832545100</v>
      </c>
      <c r="B9680" t="str">
        <f>"LL3376"</f>
        <v>LL3376</v>
      </c>
      <c r="C9680" t="s">
        <v>9474</v>
      </c>
    </row>
    <row r="9681" spans="1:3" x14ac:dyDescent="0.25">
      <c r="A9681" t="str">
        <f>"0611832546100"</f>
        <v>0611832546100</v>
      </c>
      <c r="B9681" t="str">
        <f>"LL3377"</f>
        <v>LL3377</v>
      </c>
      <c r="C9681" t="s">
        <v>9478</v>
      </c>
    </row>
    <row r="9682" spans="1:3" x14ac:dyDescent="0.25">
      <c r="A9682" t="str">
        <f>"0611832553100"</f>
        <v>0611832553100</v>
      </c>
      <c r="B9682" t="str">
        <f>"LL0125"</f>
        <v>LL0125</v>
      </c>
      <c r="C9682" t="s">
        <v>9479</v>
      </c>
    </row>
    <row r="9683" spans="1:3" x14ac:dyDescent="0.25">
      <c r="A9683" t="str">
        <f>"0611832547100"</f>
        <v>0611832547100</v>
      </c>
      <c r="B9683" t="str">
        <f>"LL4874"</f>
        <v>LL4874</v>
      </c>
      <c r="C9683" t="s">
        <v>9480</v>
      </c>
    </row>
    <row r="9684" spans="1:3" x14ac:dyDescent="0.25">
      <c r="A9684" t="str">
        <f>"0611832548100"</f>
        <v>0611832548100</v>
      </c>
      <c r="B9684" t="str">
        <f>"LL3168"</f>
        <v>LL3168</v>
      </c>
      <c r="C9684" t="s">
        <v>9481</v>
      </c>
    </row>
    <row r="9685" spans="1:3" x14ac:dyDescent="0.25">
      <c r="A9685" t="str">
        <f>"0611832549100"</f>
        <v>0611832549100</v>
      </c>
      <c r="B9685" t="str">
        <f>"LL0126"</f>
        <v>LL0126</v>
      </c>
      <c r="C9685" t="s">
        <v>9482</v>
      </c>
    </row>
    <row r="9686" spans="1:3" x14ac:dyDescent="0.25">
      <c r="A9686" t="str">
        <f>"0611906881025"</f>
        <v>0611906881025</v>
      </c>
      <c r="B9686" t="str">
        <f>"MC4551"</f>
        <v>MC4551</v>
      </c>
      <c r="C9686" t="s">
        <v>9485</v>
      </c>
    </row>
    <row r="9687" spans="1:3" x14ac:dyDescent="0.25">
      <c r="A9687" t="str">
        <f>"0611906882025"</f>
        <v>0611906882025</v>
      </c>
      <c r="B9687" t="str">
        <f>"MC4552"</f>
        <v>MC4552</v>
      </c>
      <c r="C9687" t="s">
        <v>9486</v>
      </c>
    </row>
    <row r="9688" spans="1:3" x14ac:dyDescent="0.25">
      <c r="A9688" t="str">
        <f>"0611906883025"</f>
        <v>0611906883025</v>
      </c>
      <c r="B9688" t="str">
        <f>"MC4553"</f>
        <v>MC4553</v>
      </c>
      <c r="C9688" t="s">
        <v>9487</v>
      </c>
    </row>
    <row r="9689" spans="1:3" x14ac:dyDescent="0.25">
      <c r="A9689" t="str">
        <f>"0611832551100"</f>
        <v>0611832551100</v>
      </c>
      <c r="B9689" t="str">
        <f>"LL8143"</f>
        <v>LL8143</v>
      </c>
      <c r="C9689" t="s">
        <v>9483</v>
      </c>
    </row>
    <row r="9690" spans="1:3" x14ac:dyDescent="0.25">
      <c r="A9690" t="str">
        <f>"0611832552100"</f>
        <v>0611832552100</v>
      </c>
      <c r="B9690" t="str">
        <f>"LL8339"</f>
        <v>LL8339</v>
      </c>
      <c r="C9690" t="s">
        <v>9484</v>
      </c>
    </row>
    <row r="9691" spans="1:3" x14ac:dyDescent="0.25">
      <c r="A9691" t="str">
        <f>"0611832554100"</f>
        <v>0611832554100</v>
      </c>
      <c r="B9691" t="str">
        <f>"LL3395"</f>
        <v>LL3395</v>
      </c>
      <c r="C9691" t="s">
        <v>9488</v>
      </c>
    </row>
    <row r="9692" spans="1:3" x14ac:dyDescent="0.25">
      <c r="A9692" t="str">
        <f>"0611832555100"</f>
        <v>0611832555100</v>
      </c>
      <c r="B9692" t="str">
        <f>"LL8318"</f>
        <v>LL8318</v>
      </c>
      <c r="C9692" t="s">
        <v>9489</v>
      </c>
    </row>
    <row r="9693" spans="1:3" x14ac:dyDescent="0.25">
      <c r="A9693" t="str">
        <f>"0611832556100"</f>
        <v>0611832556100</v>
      </c>
      <c r="B9693" t="str">
        <f>"LL3385"</f>
        <v>LL3385</v>
      </c>
      <c r="C9693" t="s">
        <v>9490</v>
      </c>
    </row>
    <row r="9694" spans="1:3" x14ac:dyDescent="0.25">
      <c r="A9694" t="str">
        <f>"0611832557100"</f>
        <v>0611832557100</v>
      </c>
      <c r="B9694" t="str">
        <f>"LL4826"</f>
        <v>LL4826</v>
      </c>
      <c r="C9694" t="s">
        <v>9491</v>
      </c>
    </row>
    <row r="9695" spans="1:3" x14ac:dyDescent="0.25">
      <c r="A9695" t="str">
        <f>"0611832558100"</f>
        <v>0611832558100</v>
      </c>
      <c r="B9695" t="str">
        <f>"LL3119"</f>
        <v>LL3119</v>
      </c>
      <c r="C9695" t="s">
        <v>9492</v>
      </c>
    </row>
    <row r="9696" spans="1:3" x14ac:dyDescent="0.25">
      <c r="A9696" t="str">
        <f>"0611832560100"</f>
        <v>0611832560100</v>
      </c>
      <c r="B9696" t="str">
        <f>"LL3196"</f>
        <v>LL3196</v>
      </c>
      <c r="C9696" t="s">
        <v>9493</v>
      </c>
    </row>
    <row r="9697" spans="1:3" x14ac:dyDescent="0.25">
      <c r="A9697" t="str">
        <f>"0611857057100"</f>
        <v>0611857057100</v>
      </c>
      <c r="B9697" t="str">
        <f>"LL5058"</f>
        <v>LL5058</v>
      </c>
      <c r="C9697" t="s">
        <v>9494</v>
      </c>
    </row>
    <row r="9698" spans="1:3" x14ac:dyDescent="0.25">
      <c r="A9698" t="str">
        <f>"0611832562100"</f>
        <v>0611832562100</v>
      </c>
      <c r="B9698" t="str">
        <f>"LL8078"</f>
        <v>LL8078</v>
      </c>
      <c r="C9698" t="s">
        <v>9495</v>
      </c>
    </row>
    <row r="9699" spans="1:3" x14ac:dyDescent="0.25">
      <c r="A9699" t="str">
        <f>"0611832563100"</f>
        <v>0611832563100</v>
      </c>
      <c r="B9699" t="str">
        <f>"LL3120"</f>
        <v>LL3120</v>
      </c>
      <c r="C9699" t="s">
        <v>9496</v>
      </c>
    </row>
    <row r="9700" spans="1:3" x14ac:dyDescent="0.25">
      <c r="A9700" t="str">
        <f>"0611832564100"</f>
        <v>0611832564100</v>
      </c>
      <c r="B9700" t="str">
        <f>"LK6265"</f>
        <v>LK6265</v>
      </c>
      <c r="C9700" t="s">
        <v>9497</v>
      </c>
    </row>
    <row r="9701" spans="1:3" x14ac:dyDescent="0.25">
      <c r="A9701" t="str">
        <f>"0611884359100"</f>
        <v>0611884359100</v>
      </c>
      <c r="B9701" t="str">
        <f>"LL5064"</f>
        <v>LL5064</v>
      </c>
      <c r="C9701" t="s">
        <v>9498</v>
      </c>
    </row>
    <row r="9702" spans="1:3" x14ac:dyDescent="0.25">
      <c r="A9702" t="str">
        <f>"0611832565100"</f>
        <v>0611832565100</v>
      </c>
      <c r="B9702" t="str">
        <f>"LL8228"</f>
        <v>LL8228</v>
      </c>
      <c r="C9702" t="s">
        <v>9499</v>
      </c>
    </row>
    <row r="9703" spans="1:3" x14ac:dyDescent="0.25">
      <c r="A9703" t="str">
        <f>"0611832566100"</f>
        <v>0611832566100</v>
      </c>
      <c r="B9703" t="str">
        <f>"LL3420"</f>
        <v>LL3420</v>
      </c>
      <c r="C9703" t="s">
        <v>9500</v>
      </c>
    </row>
    <row r="9704" spans="1:3" x14ac:dyDescent="0.25">
      <c r="A9704" t="str">
        <f>"0611832567100"</f>
        <v>0611832567100</v>
      </c>
      <c r="B9704" t="str">
        <f>"LL3082"</f>
        <v>LL3082</v>
      </c>
      <c r="C9704" t="s">
        <v>9501</v>
      </c>
    </row>
    <row r="9705" spans="1:3" x14ac:dyDescent="0.25">
      <c r="A9705" t="str">
        <f>"0611832568100"</f>
        <v>0611832568100</v>
      </c>
      <c r="B9705" t="str">
        <f>"LL8083"</f>
        <v>LL8083</v>
      </c>
      <c r="C9705" t="s">
        <v>9502</v>
      </c>
    </row>
    <row r="9706" spans="1:3" x14ac:dyDescent="0.25">
      <c r="A9706" t="str">
        <f>"0611832569100"</f>
        <v>0611832569100</v>
      </c>
      <c r="B9706" t="str">
        <f>"LL3430"</f>
        <v>LL3430</v>
      </c>
      <c r="C9706" t="s">
        <v>9503</v>
      </c>
    </row>
    <row r="9707" spans="1:3" x14ac:dyDescent="0.25">
      <c r="A9707" t="str">
        <f>"0611837481100"</f>
        <v>0611837481100</v>
      </c>
      <c r="B9707" t="str">
        <f>"LL8127"</f>
        <v>LL8127</v>
      </c>
      <c r="C9707" t="s">
        <v>9504</v>
      </c>
    </row>
    <row r="9708" spans="1:3" x14ac:dyDescent="0.25">
      <c r="A9708" t="str">
        <f>"0611906586050"</f>
        <v>0611906586050</v>
      </c>
      <c r="B9708" t="str">
        <f>"CR5502"</f>
        <v>CR5502</v>
      </c>
      <c r="C9708" t="s">
        <v>9505</v>
      </c>
    </row>
    <row r="9709" spans="1:3" x14ac:dyDescent="0.25">
      <c r="A9709" t="str">
        <f>"0611906587050"</f>
        <v>0611906587050</v>
      </c>
      <c r="B9709" t="str">
        <f>"CR5503"</f>
        <v>CR5503</v>
      </c>
      <c r="C9709" t="s">
        <v>9506</v>
      </c>
    </row>
    <row r="9710" spans="1:3" x14ac:dyDescent="0.25">
      <c r="A9710" t="str">
        <f>"0611837483100"</f>
        <v>0611837483100</v>
      </c>
      <c r="B9710" t="str">
        <f>"LQ6003"</f>
        <v>LQ6003</v>
      </c>
      <c r="C9710" t="s">
        <v>9507</v>
      </c>
    </row>
    <row r="9711" spans="1:3" x14ac:dyDescent="0.25">
      <c r="A9711" t="str">
        <f>"0611884360025"</f>
        <v>0611884360025</v>
      </c>
      <c r="B9711" t="str">
        <f>"MC4500"</f>
        <v>MC4500</v>
      </c>
      <c r="C9711" t="s">
        <v>9508</v>
      </c>
    </row>
    <row r="9712" spans="1:3" x14ac:dyDescent="0.25">
      <c r="A9712" t="str">
        <f>"0611837485100"</f>
        <v>0611837485100</v>
      </c>
      <c r="B9712" t="str">
        <f>"LB6152"</f>
        <v>LB6152</v>
      </c>
      <c r="C9712" t="s">
        <v>9509</v>
      </c>
    </row>
    <row r="9713" spans="1:3" x14ac:dyDescent="0.25">
      <c r="A9713" t="str">
        <f>"0611837486100"</f>
        <v>0611837486100</v>
      </c>
      <c r="B9713" t="str">
        <f>"LD0040"</f>
        <v>LD0040</v>
      </c>
      <c r="C9713" t="s">
        <v>9510</v>
      </c>
    </row>
    <row r="9714" spans="1:3" x14ac:dyDescent="0.25">
      <c r="A9714" t="str">
        <f>"0611837487025"</f>
        <v>0611837487025</v>
      </c>
      <c r="B9714" t="str">
        <f>"MC4086"</f>
        <v>MC4086</v>
      </c>
      <c r="C9714" t="s">
        <v>9511</v>
      </c>
    </row>
    <row r="9715" spans="1:3" x14ac:dyDescent="0.25">
      <c r="A9715" t="str">
        <f>"0611857058025"</f>
        <v>0611857058025</v>
      </c>
      <c r="B9715" t="str">
        <f>"MC4424"</f>
        <v>MC4424</v>
      </c>
      <c r="C9715" t="s">
        <v>9512</v>
      </c>
    </row>
    <row r="9716" spans="1:3" x14ac:dyDescent="0.25">
      <c r="A9716" t="str">
        <f>"0611863444100"</f>
        <v>0611863444100</v>
      </c>
      <c r="B9716" t="str">
        <f>"CN5293"</f>
        <v>CN5293</v>
      </c>
      <c r="C9716" t="s">
        <v>9513</v>
      </c>
    </row>
    <row r="9717" spans="1:3" x14ac:dyDescent="0.25">
      <c r="A9717" t="str">
        <f>"0611837489025"</f>
        <v>0611837489025</v>
      </c>
      <c r="B9717" t="str">
        <f>"MQ3186"</f>
        <v>MQ3186</v>
      </c>
      <c r="C9717" t="s">
        <v>9514</v>
      </c>
    </row>
    <row r="9718" spans="1:3" x14ac:dyDescent="0.25">
      <c r="A9718" t="str">
        <f>"0611863446100"</f>
        <v>0611863446100</v>
      </c>
      <c r="B9718" t="str">
        <f>"CN2384"</f>
        <v>CN2384</v>
      </c>
      <c r="C9718" t="s">
        <v>9515</v>
      </c>
    </row>
    <row r="9719" spans="1:3" x14ac:dyDescent="0.25">
      <c r="A9719" t="str">
        <f>"0611863447100"</f>
        <v>0611863447100</v>
      </c>
      <c r="B9719" t="str">
        <f>"CN5294"</f>
        <v>CN5294</v>
      </c>
      <c r="C9719" t="s">
        <v>9516</v>
      </c>
    </row>
    <row r="9720" spans="1:3" x14ac:dyDescent="0.25">
      <c r="A9720" t="str">
        <f>"0611837490025"</f>
        <v>0611837490025</v>
      </c>
      <c r="B9720" t="str">
        <f>"MQ0104"</f>
        <v>MQ0104</v>
      </c>
      <c r="C9720" t="s">
        <v>9517</v>
      </c>
    </row>
    <row r="9721" spans="1:3" x14ac:dyDescent="0.25">
      <c r="A9721" t="str">
        <f>"0611837491025"</f>
        <v>0611837491025</v>
      </c>
      <c r="B9721" t="str">
        <f>"MQ0312"</f>
        <v>MQ0312</v>
      </c>
      <c r="C9721" t="s">
        <v>9518</v>
      </c>
    </row>
    <row r="9722" spans="1:3" x14ac:dyDescent="0.25">
      <c r="A9722" t="str">
        <f>"0611863449100"</f>
        <v>0611863449100</v>
      </c>
      <c r="B9722" t="str">
        <f>"CN5295"</f>
        <v>CN5295</v>
      </c>
      <c r="C9722" t="s">
        <v>9519</v>
      </c>
    </row>
    <row r="9723" spans="1:3" x14ac:dyDescent="0.25">
      <c r="A9723" t="str">
        <f>"0611837492025"</f>
        <v>0611837492025</v>
      </c>
      <c r="B9723" t="str">
        <f>"MQ9010"</f>
        <v>MQ9010</v>
      </c>
      <c r="C9723" t="s">
        <v>9520</v>
      </c>
    </row>
    <row r="9724" spans="1:3" x14ac:dyDescent="0.25">
      <c r="A9724" t="str">
        <f>"0611863450050"</f>
        <v>0611863450050</v>
      </c>
      <c r="B9724" t="str">
        <f>"CR4416"</f>
        <v>CR4416</v>
      </c>
      <c r="C9724" t="s">
        <v>9521</v>
      </c>
    </row>
    <row r="9725" spans="1:3" x14ac:dyDescent="0.25">
      <c r="A9725" t="str">
        <f>"0611837494025"</f>
        <v>0611837494025</v>
      </c>
      <c r="B9725" t="str">
        <f>"MC0586"</f>
        <v>MC0586</v>
      </c>
      <c r="C9725" t="s">
        <v>9522</v>
      </c>
    </row>
    <row r="9726" spans="1:3" x14ac:dyDescent="0.25">
      <c r="A9726" t="str">
        <f>"0611857059025"</f>
        <v>0611857059025</v>
      </c>
      <c r="B9726" t="str">
        <f>"MQ0800"</f>
        <v>MQ0800</v>
      </c>
      <c r="C9726" t="s">
        <v>9523</v>
      </c>
    </row>
    <row r="9727" spans="1:3" x14ac:dyDescent="0.25">
      <c r="A9727" t="str">
        <f>"0611837495100"</f>
        <v>0611837495100</v>
      </c>
      <c r="B9727" t="str">
        <f>"LC9157"</f>
        <v>LC9157</v>
      </c>
      <c r="C9727" t="s">
        <v>9524</v>
      </c>
    </row>
    <row r="9728" spans="1:3" x14ac:dyDescent="0.25">
      <c r="A9728" t="str">
        <f>"0611863451100"</f>
        <v>0611863451100</v>
      </c>
      <c r="B9728" t="str">
        <f>"CN5296"</f>
        <v>CN5296</v>
      </c>
      <c r="C9728" t="s">
        <v>9525</v>
      </c>
    </row>
    <row r="9729" spans="1:3" x14ac:dyDescent="0.25">
      <c r="A9729" t="str">
        <f>"0611837496025"</f>
        <v>0611837496025</v>
      </c>
      <c r="B9729" t="str">
        <f>"MC0585"</f>
        <v>MC0585</v>
      </c>
      <c r="C9729" t="s">
        <v>9526</v>
      </c>
    </row>
    <row r="9730" spans="1:3" x14ac:dyDescent="0.25">
      <c r="A9730" t="str">
        <f>"0611893642100"</f>
        <v>0611893642100</v>
      </c>
      <c r="B9730" t="str">
        <f>"CN5459"</f>
        <v>CN5459</v>
      </c>
      <c r="C9730" t="s">
        <v>9527</v>
      </c>
    </row>
    <row r="9731" spans="1:3" x14ac:dyDescent="0.25">
      <c r="A9731" t="str">
        <f>"0611884361025"</f>
        <v>0611884361025</v>
      </c>
      <c r="B9731" t="str">
        <f>"MQ0840"</f>
        <v>MQ0840</v>
      </c>
      <c r="C9731" t="s">
        <v>9528</v>
      </c>
    </row>
    <row r="9732" spans="1:3" x14ac:dyDescent="0.25">
      <c r="A9732" t="str">
        <f>"0611837498100"</f>
        <v>0611837498100</v>
      </c>
      <c r="B9732" t="str">
        <f>"LK6356"</f>
        <v>LK6356</v>
      </c>
      <c r="C9732" t="s">
        <v>9529</v>
      </c>
    </row>
    <row r="9733" spans="1:3" x14ac:dyDescent="0.25">
      <c r="A9733" t="str">
        <f>"0611837499100"</f>
        <v>0611837499100</v>
      </c>
      <c r="B9733" t="str">
        <f>"LC5805"</f>
        <v>LC5805</v>
      </c>
      <c r="C9733" t="s">
        <v>9530</v>
      </c>
    </row>
    <row r="9734" spans="1:3" x14ac:dyDescent="0.25">
      <c r="A9734" t="str">
        <f>"0611884362025"</f>
        <v>0611884362025</v>
      </c>
      <c r="B9734" t="str">
        <f>"MC4470"</f>
        <v>MC4470</v>
      </c>
      <c r="C9734" t="s">
        <v>9531</v>
      </c>
    </row>
    <row r="9735" spans="1:3" x14ac:dyDescent="0.25">
      <c r="A9735" t="str">
        <f>"0611906884100"</f>
        <v>0611906884100</v>
      </c>
      <c r="B9735" t="str">
        <f>"LQ3979"</f>
        <v>LQ3979</v>
      </c>
      <c r="C9735" t="s">
        <v>9532</v>
      </c>
    </row>
    <row r="9736" spans="1:3" x14ac:dyDescent="0.25">
      <c r="A9736" t="str">
        <f>"0611906885100"</f>
        <v>0611906885100</v>
      </c>
      <c r="B9736" t="str">
        <f>"LQ3982"</f>
        <v>LQ3982</v>
      </c>
      <c r="C9736" t="s">
        <v>9533</v>
      </c>
    </row>
    <row r="9737" spans="1:3" x14ac:dyDescent="0.25">
      <c r="A9737" t="str">
        <f>"0611906886100"</f>
        <v>0611906886100</v>
      </c>
      <c r="B9737" t="str">
        <f>"LQ3981"</f>
        <v>LQ3981</v>
      </c>
      <c r="C9737" t="s">
        <v>9534</v>
      </c>
    </row>
    <row r="9738" spans="1:3" x14ac:dyDescent="0.25">
      <c r="A9738" t="str">
        <f>"0611906887100"</f>
        <v>0611906887100</v>
      </c>
      <c r="B9738" t="str">
        <f>"LQ3983"</f>
        <v>LQ3983</v>
      </c>
      <c r="C9738" t="s">
        <v>9535</v>
      </c>
    </row>
    <row r="9739" spans="1:3" x14ac:dyDescent="0.25">
      <c r="A9739" t="str">
        <f>"0611884365100"</f>
        <v>0611884365100</v>
      </c>
      <c r="B9739" t="str">
        <f>"LQ6297"</f>
        <v>LQ6297</v>
      </c>
      <c r="C9739" t="s">
        <v>9538</v>
      </c>
    </row>
    <row r="9740" spans="1:3" x14ac:dyDescent="0.25">
      <c r="A9740" t="str">
        <f>"0611837516100"</f>
        <v>0611837516100</v>
      </c>
      <c r="B9740" t="str">
        <f>"LQ6072"</f>
        <v>LQ6072</v>
      </c>
      <c r="C9740" t="s">
        <v>9539</v>
      </c>
    </row>
    <row r="9741" spans="1:3" x14ac:dyDescent="0.25">
      <c r="A9741" t="str">
        <f>"0611837517100"</f>
        <v>0611837517100</v>
      </c>
      <c r="B9741" t="str">
        <f>"LQ0959"</f>
        <v>LQ0959</v>
      </c>
      <c r="C9741" t="s">
        <v>9540</v>
      </c>
    </row>
    <row r="9742" spans="1:3" x14ac:dyDescent="0.25">
      <c r="A9742" t="str">
        <f>"0611837518100"</f>
        <v>0611837518100</v>
      </c>
      <c r="B9742" t="str">
        <f>"LQ6204"</f>
        <v>LQ6204</v>
      </c>
      <c r="C9742" t="s">
        <v>9541</v>
      </c>
    </row>
    <row r="9743" spans="1:3" x14ac:dyDescent="0.25">
      <c r="A9743" t="str">
        <f>"0611837520100"</f>
        <v>0611837520100</v>
      </c>
      <c r="B9743" t="str">
        <f>"LQ0960"</f>
        <v>LQ0960</v>
      </c>
      <c r="C9743" t="s">
        <v>9542</v>
      </c>
    </row>
    <row r="9744" spans="1:3" x14ac:dyDescent="0.25">
      <c r="A9744" t="str">
        <f>"0611837521100"</f>
        <v>0611837521100</v>
      </c>
      <c r="B9744" t="str">
        <f>"LQ0961"</f>
        <v>LQ0961</v>
      </c>
      <c r="C9744" t="s">
        <v>9543</v>
      </c>
    </row>
    <row r="9745" spans="1:3" x14ac:dyDescent="0.25">
      <c r="A9745" t="str">
        <f>"0611884366100"</f>
        <v>0611884366100</v>
      </c>
      <c r="B9745" t="str">
        <f>"LQ6299"</f>
        <v>LQ6299</v>
      </c>
      <c r="C9745" t="s">
        <v>9544</v>
      </c>
    </row>
    <row r="9746" spans="1:3" x14ac:dyDescent="0.25">
      <c r="A9746" t="str">
        <f>"0611837522100"</f>
        <v>0611837522100</v>
      </c>
      <c r="B9746" t="str">
        <f>"LQ6102"</f>
        <v>LQ6102</v>
      </c>
      <c r="C9746" t="s">
        <v>9545</v>
      </c>
    </row>
    <row r="9747" spans="1:3" x14ac:dyDescent="0.25">
      <c r="A9747" t="str">
        <f>"0611837523100"</f>
        <v>0611837523100</v>
      </c>
      <c r="B9747" t="str">
        <f>"LQ6075"</f>
        <v>LQ6075</v>
      </c>
      <c r="C9747" t="s">
        <v>9546</v>
      </c>
    </row>
    <row r="9748" spans="1:3" x14ac:dyDescent="0.25">
      <c r="A9748" t="str">
        <f>"0611837524025"</f>
        <v>0611837524025</v>
      </c>
      <c r="B9748" t="str">
        <f>"MQ5155"</f>
        <v>MQ5155</v>
      </c>
      <c r="C9748" t="s">
        <v>9547</v>
      </c>
    </row>
    <row r="9749" spans="1:3" x14ac:dyDescent="0.25">
      <c r="A9749" t="str">
        <f>"0611837526100"</f>
        <v>0611837526100</v>
      </c>
      <c r="B9749" t="str">
        <f>"LK3960"</f>
        <v>LK3960</v>
      </c>
      <c r="C9749" t="s">
        <v>9548</v>
      </c>
    </row>
    <row r="9750" spans="1:3" x14ac:dyDescent="0.25">
      <c r="A9750" t="str">
        <f>"0611863453050"</f>
        <v>0611863453050</v>
      </c>
      <c r="B9750" t="str">
        <f>"CR4002"</f>
        <v>CR4002</v>
      </c>
      <c r="C9750" t="s">
        <v>9550</v>
      </c>
    </row>
    <row r="9751" spans="1:3" x14ac:dyDescent="0.25">
      <c r="A9751" t="str">
        <f>"0611863454050"</f>
        <v>0611863454050</v>
      </c>
      <c r="B9751" t="str">
        <f>"CR4990"</f>
        <v>CR4990</v>
      </c>
      <c r="C9751" t="s">
        <v>9551</v>
      </c>
    </row>
    <row r="9752" spans="1:3" x14ac:dyDescent="0.25">
      <c r="A9752" t="str">
        <f>"0611863455050"</f>
        <v>0611863455050</v>
      </c>
      <c r="B9752" t="str">
        <f>"CR4005"</f>
        <v>CR4005</v>
      </c>
      <c r="C9752" t="s">
        <v>9552</v>
      </c>
    </row>
    <row r="9753" spans="1:3" x14ac:dyDescent="0.25">
      <c r="A9753" t="str">
        <f>"0611863456050"</f>
        <v>0611863456050</v>
      </c>
      <c r="B9753" t="str">
        <f>"CR5218"</f>
        <v>CR5218</v>
      </c>
      <c r="C9753" t="s">
        <v>9553</v>
      </c>
    </row>
    <row r="9754" spans="1:3" x14ac:dyDescent="0.25">
      <c r="A9754" t="str">
        <f>"0611863457050"</f>
        <v>0611863457050</v>
      </c>
      <c r="B9754" t="str">
        <f>"CR4003"</f>
        <v>CR4003</v>
      </c>
      <c r="C9754" t="s">
        <v>9554</v>
      </c>
    </row>
    <row r="9755" spans="1:3" x14ac:dyDescent="0.25">
      <c r="A9755" t="str">
        <f>"0611863458050"</f>
        <v>0611863458050</v>
      </c>
      <c r="B9755" t="str">
        <f>"CR4004"</f>
        <v>CR4004</v>
      </c>
      <c r="C9755" t="s">
        <v>9555</v>
      </c>
    </row>
    <row r="9756" spans="1:3" x14ac:dyDescent="0.25">
      <c r="A9756" t="str">
        <f>"0611837527100"</f>
        <v>0611837527100</v>
      </c>
      <c r="B9756" t="str">
        <f>"LQ0885"</f>
        <v>LQ0885</v>
      </c>
      <c r="C9756" t="s">
        <v>9549</v>
      </c>
    </row>
    <row r="9757" spans="1:3" x14ac:dyDescent="0.25">
      <c r="A9757" t="str">
        <f>"0611837817100"</f>
        <v>0611837817100</v>
      </c>
      <c r="B9757" t="str">
        <f>"LS0102"</f>
        <v>LS0102</v>
      </c>
      <c r="C9757" t="s">
        <v>9984</v>
      </c>
    </row>
    <row r="9758" spans="1:3" x14ac:dyDescent="0.25">
      <c r="A9758" t="str">
        <f>"0611837529100"</f>
        <v>0611837529100</v>
      </c>
      <c r="B9758" t="str">
        <f>"LK6763"</f>
        <v>LK6763</v>
      </c>
      <c r="C9758" t="s">
        <v>9558</v>
      </c>
    </row>
    <row r="9759" spans="1:3" x14ac:dyDescent="0.25">
      <c r="A9759" t="str">
        <f>"0611837530100"</f>
        <v>0611837530100</v>
      </c>
      <c r="B9759" t="str">
        <f>"LK6764"</f>
        <v>LK6764</v>
      </c>
      <c r="C9759" t="s">
        <v>9559</v>
      </c>
    </row>
    <row r="9760" spans="1:3" x14ac:dyDescent="0.25">
      <c r="A9760" t="str">
        <f>"0611837531100"</f>
        <v>0611837531100</v>
      </c>
      <c r="B9760" t="str">
        <f>"LS0104"</f>
        <v>LS0104</v>
      </c>
      <c r="C9760" t="s">
        <v>9556</v>
      </c>
    </row>
    <row r="9761" spans="1:3" x14ac:dyDescent="0.25">
      <c r="A9761" t="str">
        <f>"0611837532100"</f>
        <v>0611837532100</v>
      </c>
      <c r="B9761" t="str">
        <f>"LK1724"</f>
        <v>LK1724</v>
      </c>
      <c r="C9761" t="s">
        <v>9560</v>
      </c>
    </row>
    <row r="9762" spans="1:3" x14ac:dyDescent="0.25">
      <c r="A9762" t="str">
        <f>"0611837533100"</f>
        <v>0611837533100</v>
      </c>
      <c r="B9762" t="str">
        <f>"LK1725"</f>
        <v>LK1725</v>
      </c>
      <c r="C9762" t="s">
        <v>9561</v>
      </c>
    </row>
    <row r="9763" spans="1:3" x14ac:dyDescent="0.25">
      <c r="A9763" t="str">
        <f>"0611837528100"</f>
        <v>0611837528100</v>
      </c>
      <c r="B9763" t="str">
        <f>"LS0105"</f>
        <v>LS0105</v>
      </c>
      <c r="C9763" t="s">
        <v>9557</v>
      </c>
    </row>
    <row r="9764" spans="1:3" x14ac:dyDescent="0.25">
      <c r="A9764" t="str">
        <f>"0611837534025"</f>
        <v>0611837534025</v>
      </c>
      <c r="B9764" t="str">
        <f>"MC3524"</f>
        <v>MC3524</v>
      </c>
      <c r="C9764" t="s">
        <v>9562</v>
      </c>
    </row>
    <row r="9765" spans="1:3" x14ac:dyDescent="0.25">
      <c r="A9765" t="str">
        <f>"0611906888100"</f>
        <v>0611906888100</v>
      </c>
      <c r="B9765" t="str">
        <f>"LK7268"</f>
        <v>LK7268</v>
      </c>
      <c r="C9765" t="s">
        <v>9563</v>
      </c>
    </row>
    <row r="9766" spans="1:3" x14ac:dyDescent="0.25">
      <c r="A9766" t="str">
        <f>"0611837544100"</f>
        <v>0611837544100</v>
      </c>
      <c r="B9766" t="str">
        <f>"LK1712"</f>
        <v>LK1712</v>
      </c>
      <c r="C9766" t="s">
        <v>9564</v>
      </c>
    </row>
    <row r="9767" spans="1:3" x14ac:dyDescent="0.25">
      <c r="A9767" t="str">
        <f>"0611837547100"</f>
        <v>0611837547100</v>
      </c>
      <c r="B9767" t="str">
        <f>"LB6245"</f>
        <v>LB6245</v>
      </c>
      <c r="C9767" t="s">
        <v>13921</v>
      </c>
    </row>
    <row r="9768" spans="1:3" x14ac:dyDescent="0.25">
      <c r="A9768" t="str">
        <f>"0611884367100"</f>
        <v>0611884367100</v>
      </c>
      <c r="B9768" t="str">
        <f>"LQ0979"</f>
        <v>LQ0979</v>
      </c>
      <c r="C9768" t="s">
        <v>9565</v>
      </c>
    </row>
    <row r="9769" spans="1:3" x14ac:dyDescent="0.25">
      <c r="A9769" t="str">
        <f>"0611837548100"</f>
        <v>0611837548100</v>
      </c>
      <c r="B9769" t="str">
        <f>"LS0106"</f>
        <v>LS0106</v>
      </c>
      <c r="C9769" t="s">
        <v>9566</v>
      </c>
    </row>
    <row r="9770" spans="1:3" x14ac:dyDescent="0.25">
      <c r="A9770" t="str">
        <f>"0611837549100"</f>
        <v>0611837549100</v>
      </c>
      <c r="B9770" t="str">
        <f>"LK1726"</f>
        <v>LK1726</v>
      </c>
      <c r="C9770" t="s">
        <v>9567</v>
      </c>
    </row>
    <row r="9771" spans="1:3" x14ac:dyDescent="0.25">
      <c r="A9771" t="str">
        <f>"0611884368100"</f>
        <v>0611884368100</v>
      </c>
      <c r="B9771" t="str">
        <f>"LK7142"</f>
        <v>LK7142</v>
      </c>
      <c r="C9771" t="s">
        <v>9571</v>
      </c>
    </row>
    <row r="9772" spans="1:3" x14ac:dyDescent="0.25">
      <c r="A9772" t="str">
        <f>"0611837553100"</f>
        <v>0611837553100</v>
      </c>
      <c r="B9772" t="str">
        <f>"LQ6162"</f>
        <v>LQ6162</v>
      </c>
      <c r="C9772" t="s">
        <v>9572</v>
      </c>
    </row>
    <row r="9773" spans="1:3" x14ac:dyDescent="0.25">
      <c r="A9773" t="str">
        <f>"0611837554100"</f>
        <v>0611837554100</v>
      </c>
      <c r="B9773" t="str">
        <f>"LQ6076"</f>
        <v>LQ6076</v>
      </c>
      <c r="C9773" t="s">
        <v>9573</v>
      </c>
    </row>
    <row r="9774" spans="1:3" x14ac:dyDescent="0.25">
      <c r="A9774" t="str">
        <f>"0611837555100"</f>
        <v>0611837555100</v>
      </c>
      <c r="B9774" t="str">
        <f>"LQ6205"</f>
        <v>LQ6205</v>
      </c>
      <c r="C9774" t="s">
        <v>9574</v>
      </c>
    </row>
    <row r="9775" spans="1:3" x14ac:dyDescent="0.25">
      <c r="A9775" t="str">
        <f>"0611837556100"</f>
        <v>0611837556100</v>
      </c>
      <c r="B9775" t="str">
        <f>"LQ6242"</f>
        <v>LQ6242</v>
      </c>
      <c r="C9775" t="s">
        <v>9575</v>
      </c>
    </row>
    <row r="9776" spans="1:3" x14ac:dyDescent="0.25">
      <c r="A9776" t="str">
        <f>"0611906889100"</f>
        <v>0611906889100</v>
      </c>
      <c r="B9776" t="str">
        <f>"LQ6321"</f>
        <v>LQ6321</v>
      </c>
      <c r="C9776" t="s">
        <v>9576</v>
      </c>
    </row>
    <row r="9777" spans="1:3" x14ac:dyDescent="0.25">
      <c r="A9777" t="str">
        <f>"0611837557100"</f>
        <v>0611837557100</v>
      </c>
      <c r="B9777" t="str">
        <f>"LQ6243"</f>
        <v>LQ6243</v>
      </c>
      <c r="C9777" t="s">
        <v>9577</v>
      </c>
    </row>
    <row r="9778" spans="1:3" x14ac:dyDescent="0.25">
      <c r="A9778" t="str">
        <f>"0611837558100"</f>
        <v>0611837558100</v>
      </c>
      <c r="B9778" t="str">
        <f>"LQ6103"</f>
        <v>LQ6103</v>
      </c>
      <c r="C9778" t="s">
        <v>9578</v>
      </c>
    </row>
    <row r="9779" spans="1:3" x14ac:dyDescent="0.25">
      <c r="A9779" t="str">
        <f>"0611906890100"</f>
        <v>0611906890100</v>
      </c>
      <c r="B9779" t="str">
        <f>"LQ6322"</f>
        <v>LQ6322</v>
      </c>
      <c r="C9779" t="s">
        <v>9579</v>
      </c>
    </row>
    <row r="9780" spans="1:3" x14ac:dyDescent="0.25">
      <c r="A9780" t="str">
        <f>"0611857060100"</f>
        <v>0611857060100</v>
      </c>
      <c r="B9780" t="str">
        <f>"LQ6270"</f>
        <v>LQ6270</v>
      </c>
      <c r="C9780" t="s">
        <v>9580</v>
      </c>
    </row>
    <row r="9781" spans="1:3" x14ac:dyDescent="0.25">
      <c r="A9781" t="str">
        <f>"0611837559100"</f>
        <v>0611837559100</v>
      </c>
      <c r="B9781" t="str">
        <f>"LQ6163"</f>
        <v>LQ6163</v>
      </c>
      <c r="C9781" t="s">
        <v>9581</v>
      </c>
    </row>
    <row r="9782" spans="1:3" x14ac:dyDescent="0.25">
      <c r="A9782" t="str">
        <f>"0611837560100"</f>
        <v>0611837560100</v>
      </c>
      <c r="B9782" t="str">
        <f>"LQ6104"</f>
        <v>LQ6104</v>
      </c>
      <c r="C9782" t="s">
        <v>9582</v>
      </c>
    </row>
    <row r="9783" spans="1:3" x14ac:dyDescent="0.25">
      <c r="A9783" t="str">
        <f>"0611906891100"</f>
        <v>0611906891100</v>
      </c>
      <c r="B9783" t="str">
        <f>"LQ6323"</f>
        <v>LQ6323</v>
      </c>
      <c r="C9783" t="s">
        <v>9583</v>
      </c>
    </row>
    <row r="9784" spans="1:3" x14ac:dyDescent="0.25">
      <c r="A9784" t="str">
        <f>"0611837561100"</f>
        <v>0611837561100</v>
      </c>
      <c r="B9784" t="str">
        <f>"LQ6206"</f>
        <v>LQ6206</v>
      </c>
      <c r="C9784" t="s">
        <v>9584</v>
      </c>
    </row>
    <row r="9785" spans="1:3" x14ac:dyDescent="0.25">
      <c r="A9785" t="str">
        <f>"0611837562100"</f>
        <v>0611837562100</v>
      </c>
      <c r="B9785" t="str">
        <f>"LQ6105"</f>
        <v>LQ6105</v>
      </c>
      <c r="C9785" t="s">
        <v>9585</v>
      </c>
    </row>
    <row r="9786" spans="1:3" x14ac:dyDescent="0.25">
      <c r="A9786" t="str">
        <f>"0611884369100"</f>
        <v>0611884369100</v>
      </c>
      <c r="B9786" t="str">
        <f>"LQ6300"</f>
        <v>LQ6300</v>
      </c>
      <c r="C9786" t="s">
        <v>9586</v>
      </c>
    </row>
    <row r="9787" spans="1:3" x14ac:dyDescent="0.25">
      <c r="A9787" t="str">
        <f>"0611906892100"</f>
        <v>0611906892100</v>
      </c>
      <c r="B9787" t="str">
        <f>"LQ6324"</f>
        <v>LQ6324</v>
      </c>
      <c r="C9787" t="s">
        <v>9587</v>
      </c>
    </row>
    <row r="9788" spans="1:3" x14ac:dyDescent="0.25">
      <c r="A9788" t="str">
        <f>"0611837563100"</f>
        <v>0611837563100</v>
      </c>
      <c r="B9788" t="str">
        <f>"LQ6244"</f>
        <v>LQ6244</v>
      </c>
      <c r="C9788" t="s">
        <v>9588</v>
      </c>
    </row>
    <row r="9789" spans="1:3" x14ac:dyDescent="0.25">
      <c r="A9789" t="str">
        <f>"0611837564100"</f>
        <v>0611837564100</v>
      </c>
      <c r="B9789" t="str">
        <f>"LQ6164"</f>
        <v>LQ6164</v>
      </c>
      <c r="C9789" t="s">
        <v>9589</v>
      </c>
    </row>
    <row r="9790" spans="1:3" x14ac:dyDescent="0.25">
      <c r="A9790" t="str">
        <f>"0611837565100"</f>
        <v>0611837565100</v>
      </c>
      <c r="B9790" t="str">
        <f>"LQ6207"</f>
        <v>LQ6207</v>
      </c>
      <c r="C9790" t="s">
        <v>9590</v>
      </c>
    </row>
    <row r="9791" spans="1:3" x14ac:dyDescent="0.25">
      <c r="A9791" t="str">
        <f>"0611837566100"</f>
        <v>0611837566100</v>
      </c>
      <c r="B9791" t="str">
        <f>"LQ6245"</f>
        <v>LQ6245</v>
      </c>
      <c r="C9791" t="s">
        <v>9591</v>
      </c>
    </row>
    <row r="9792" spans="1:3" x14ac:dyDescent="0.25">
      <c r="A9792" t="str">
        <f>"0611837567100"</f>
        <v>0611837567100</v>
      </c>
      <c r="B9792" t="str">
        <f>"LQ6208"</f>
        <v>LQ6208</v>
      </c>
      <c r="C9792" t="s">
        <v>9592</v>
      </c>
    </row>
    <row r="9793" spans="1:3" x14ac:dyDescent="0.25">
      <c r="A9793" t="str">
        <f>"0611837568100"</f>
        <v>0611837568100</v>
      </c>
      <c r="B9793" t="str">
        <f>"LQ6107"</f>
        <v>LQ6107</v>
      </c>
      <c r="C9793" t="s">
        <v>9593</v>
      </c>
    </row>
    <row r="9794" spans="1:3" x14ac:dyDescent="0.25">
      <c r="A9794" t="str">
        <f>"0611837569100"</f>
        <v>0611837569100</v>
      </c>
      <c r="B9794" t="str">
        <f>"LB7631"</f>
        <v>LB7631</v>
      </c>
      <c r="C9794" t="s">
        <v>9594</v>
      </c>
    </row>
    <row r="9795" spans="1:3" x14ac:dyDescent="0.25">
      <c r="A9795" t="str">
        <f>"0611837570100"</f>
        <v>0611837570100</v>
      </c>
      <c r="B9795" t="str">
        <f>"LB6190"</f>
        <v>LB6190</v>
      </c>
      <c r="C9795" t="s">
        <v>9595</v>
      </c>
    </row>
    <row r="9796" spans="1:3" x14ac:dyDescent="0.25">
      <c r="A9796" t="str">
        <f>"0611837571100"</f>
        <v>0611837571100</v>
      </c>
      <c r="B9796" t="str">
        <f>"LB6248"</f>
        <v>LB6248</v>
      </c>
      <c r="C9796" t="s">
        <v>9596</v>
      </c>
    </row>
    <row r="9797" spans="1:3" x14ac:dyDescent="0.25">
      <c r="A9797" t="str">
        <f>"0611837572100"</f>
        <v>0611837572100</v>
      </c>
      <c r="B9797" t="str">
        <f>"LB6260"</f>
        <v>LB6260</v>
      </c>
      <c r="C9797" t="s">
        <v>9597</v>
      </c>
    </row>
    <row r="9798" spans="1:3" x14ac:dyDescent="0.25">
      <c r="A9798" t="str">
        <f>"0611837573100"</f>
        <v>0611837573100</v>
      </c>
      <c r="B9798" t="str">
        <f>"LB7632"</f>
        <v>LB7632</v>
      </c>
      <c r="C9798" t="s">
        <v>9598</v>
      </c>
    </row>
    <row r="9799" spans="1:3" x14ac:dyDescent="0.25">
      <c r="A9799" t="str">
        <f>"0611837574100"</f>
        <v>0611837574100</v>
      </c>
      <c r="B9799" t="str">
        <f>"LB7634"</f>
        <v>LB7634</v>
      </c>
      <c r="C9799" t="s">
        <v>9599</v>
      </c>
    </row>
    <row r="9800" spans="1:3" x14ac:dyDescent="0.25">
      <c r="A9800" t="str">
        <f>"0611837575100"</f>
        <v>0611837575100</v>
      </c>
      <c r="B9800" t="str">
        <f>"LB6263"</f>
        <v>LB6263</v>
      </c>
      <c r="C9800" t="s">
        <v>9600</v>
      </c>
    </row>
    <row r="9801" spans="1:3" x14ac:dyDescent="0.25">
      <c r="A9801" t="str">
        <f>"0611837576100"</f>
        <v>0611837576100</v>
      </c>
      <c r="B9801" t="str">
        <f>"LK0313"</f>
        <v>LK0313</v>
      </c>
      <c r="C9801" t="s">
        <v>9601</v>
      </c>
    </row>
    <row r="9802" spans="1:3" x14ac:dyDescent="0.25">
      <c r="A9802" t="str">
        <f>"0611837577100"</f>
        <v>0611837577100</v>
      </c>
      <c r="B9802" t="str">
        <f>"LB6267"</f>
        <v>LB6267</v>
      </c>
      <c r="C9802" t="s">
        <v>9602</v>
      </c>
    </row>
    <row r="9803" spans="1:3" x14ac:dyDescent="0.25">
      <c r="A9803" t="str">
        <f>"0611837578100"</f>
        <v>0611837578100</v>
      </c>
      <c r="B9803" t="str">
        <f>"LB6268"</f>
        <v>LB6268</v>
      </c>
      <c r="C9803" t="s">
        <v>9603</v>
      </c>
    </row>
    <row r="9804" spans="1:3" x14ac:dyDescent="0.25">
      <c r="A9804" t="str">
        <f>"0611837579100"</f>
        <v>0611837579100</v>
      </c>
      <c r="B9804" t="str">
        <f>"LB6269"</f>
        <v>LB6269</v>
      </c>
      <c r="C9804" t="s">
        <v>9604</v>
      </c>
    </row>
    <row r="9805" spans="1:3" x14ac:dyDescent="0.25">
      <c r="A9805" t="str">
        <f>"0611837581100"</f>
        <v>0611837581100</v>
      </c>
      <c r="B9805" t="str">
        <f>"LK1345"</f>
        <v>LK1345</v>
      </c>
      <c r="C9805" t="s">
        <v>9605</v>
      </c>
    </row>
    <row r="9806" spans="1:3" x14ac:dyDescent="0.25">
      <c r="A9806" t="str">
        <f>"0611837583100"</f>
        <v>0611837583100</v>
      </c>
      <c r="B9806" t="str">
        <f>"LB7635"</f>
        <v>LB7635</v>
      </c>
      <c r="C9806" t="s">
        <v>9606</v>
      </c>
    </row>
    <row r="9807" spans="1:3" x14ac:dyDescent="0.25">
      <c r="A9807" t="str">
        <f>"0611837584100"</f>
        <v>0611837584100</v>
      </c>
      <c r="B9807" t="str">
        <f>"LB7637"</f>
        <v>LB7637</v>
      </c>
      <c r="C9807" t="s">
        <v>9607</v>
      </c>
    </row>
    <row r="9808" spans="1:3" x14ac:dyDescent="0.25">
      <c r="A9808" t="str">
        <f>"0611837585100"</f>
        <v>0611837585100</v>
      </c>
      <c r="B9808" t="str">
        <f>"LB6270"</f>
        <v>LB6270</v>
      </c>
      <c r="C9808" t="s">
        <v>9608</v>
      </c>
    </row>
    <row r="9809" spans="1:3" x14ac:dyDescent="0.25">
      <c r="A9809" t="str">
        <f>"0611837586100"</f>
        <v>0611837586100</v>
      </c>
      <c r="B9809" t="str">
        <f>"LB6271"</f>
        <v>LB6271</v>
      </c>
      <c r="C9809" t="s">
        <v>9609</v>
      </c>
    </row>
    <row r="9810" spans="1:3" x14ac:dyDescent="0.25">
      <c r="A9810" t="str">
        <f>"0611837589100"</f>
        <v>0611837589100</v>
      </c>
      <c r="B9810" t="str">
        <f>"LB6207"</f>
        <v>LB6207</v>
      </c>
      <c r="C9810" t="s">
        <v>9612</v>
      </c>
    </row>
    <row r="9811" spans="1:3" x14ac:dyDescent="0.25">
      <c r="A9811" t="str">
        <f>"0611837594100"</f>
        <v>0611837594100</v>
      </c>
      <c r="B9811" t="str">
        <f>"LB6583"</f>
        <v>LB6583</v>
      </c>
      <c r="C9811" t="s">
        <v>9617</v>
      </c>
    </row>
    <row r="9812" spans="1:3" x14ac:dyDescent="0.25">
      <c r="A9812" t="str">
        <f>"0611837595100"</f>
        <v>0611837595100</v>
      </c>
      <c r="B9812" t="str">
        <f>"LB6209"</f>
        <v>LB6209</v>
      </c>
      <c r="C9812" t="s">
        <v>9618</v>
      </c>
    </row>
    <row r="9813" spans="1:3" x14ac:dyDescent="0.25">
      <c r="A9813" t="str">
        <f>"0611837596100"</f>
        <v>0611837596100</v>
      </c>
      <c r="B9813" t="str">
        <f>"LB7247"</f>
        <v>LB7247</v>
      </c>
      <c r="C9813" t="s">
        <v>9619</v>
      </c>
    </row>
    <row r="9814" spans="1:3" x14ac:dyDescent="0.25">
      <c r="A9814" t="str">
        <f>"0611837597100"</f>
        <v>0611837597100</v>
      </c>
      <c r="B9814" t="str">
        <f>"LB6211"</f>
        <v>LB6211</v>
      </c>
      <c r="C9814" t="s">
        <v>9620</v>
      </c>
    </row>
    <row r="9815" spans="1:3" x14ac:dyDescent="0.25">
      <c r="A9815" t="str">
        <f>"0611884370100"</f>
        <v>0611884370100</v>
      </c>
      <c r="B9815" t="str">
        <f>"LQ6301"</f>
        <v>LQ6301</v>
      </c>
      <c r="C9815" t="s">
        <v>9621</v>
      </c>
    </row>
    <row r="9816" spans="1:3" x14ac:dyDescent="0.25">
      <c r="A9816" t="str">
        <f>"0611837598100"</f>
        <v>0611837598100</v>
      </c>
      <c r="B9816" t="str">
        <f>"LQ5967"</f>
        <v>LQ5967</v>
      </c>
      <c r="C9816" t="s">
        <v>9622</v>
      </c>
    </row>
    <row r="9817" spans="1:3" x14ac:dyDescent="0.25">
      <c r="A9817" t="str">
        <f>"0611837599100"</f>
        <v>0611837599100</v>
      </c>
      <c r="B9817" t="str">
        <f>"LQ5536"</f>
        <v>LQ5536</v>
      </c>
      <c r="C9817" t="s">
        <v>9623</v>
      </c>
    </row>
    <row r="9818" spans="1:3" x14ac:dyDescent="0.25">
      <c r="A9818" t="str">
        <f>"0611837600100"</f>
        <v>0611837600100</v>
      </c>
      <c r="B9818" t="str">
        <f>"LQ6108"</f>
        <v>LQ6108</v>
      </c>
      <c r="C9818" t="s">
        <v>9624</v>
      </c>
    </row>
    <row r="9819" spans="1:3" x14ac:dyDescent="0.25">
      <c r="A9819" t="str">
        <f>"0611837601100"</f>
        <v>0611837601100</v>
      </c>
      <c r="B9819" t="str">
        <f>"LQ6209"</f>
        <v>LQ6209</v>
      </c>
      <c r="C9819" t="s">
        <v>9625</v>
      </c>
    </row>
    <row r="9820" spans="1:3" x14ac:dyDescent="0.25">
      <c r="A9820" t="str">
        <f>"0611837602100"</f>
        <v>0611837602100</v>
      </c>
      <c r="B9820" t="str">
        <f>"LQ5868"</f>
        <v>LQ5868</v>
      </c>
      <c r="C9820" t="s">
        <v>9626</v>
      </c>
    </row>
    <row r="9821" spans="1:3" x14ac:dyDescent="0.25">
      <c r="A9821" t="str">
        <f>"0611857061100"</f>
        <v>0611857061100</v>
      </c>
      <c r="B9821" t="str">
        <f>"LQ6271"</f>
        <v>LQ6271</v>
      </c>
      <c r="C9821" t="s">
        <v>9627</v>
      </c>
    </row>
    <row r="9822" spans="1:3" x14ac:dyDescent="0.25">
      <c r="A9822" t="str">
        <f>"0611906893100"</f>
        <v>0611906893100</v>
      </c>
      <c r="B9822" t="str">
        <f>"LQ6325"</f>
        <v>LQ6325</v>
      </c>
      <c r="C9822" t="s">
        <v>9628</v>
      </c>
    </row>
    <row r="9823" spans="1:3" x14ac:dyDescent="0.25">
      <c r="A9823" t="str">
        <f>"0611837603100"</f>
        <v>0611837603100</v>
      </c>
      <c r="B9823" t="str">
        <f>"LQ6210"</f>
        <v>LQ6210</v>
      </c>
      <c r="C9823" t="s">
        <v>9629</v>
      </c>
    </row>
    <row r="9824" spans="1:3" x14ac:dyDescent="0.25">
      <c r="A9824" t="str">
        <f>"0611837604100"</f>
        <v>0611837604100</v>
      </c>
      <c r="B9824" t="str">
        <f>"LQ6109"</f>
        <v>LQ6109</v>
      </c>
      <c r="C9824" t="s">
        <v>9630</v>
      </c>
    </row>
    <row r="9825" spans="1:3" x14ac:dyDescent="0.25">
      <c r="A9825" t="str">
        <f>"0611837605100"</f>
        <v>0611837605100</v>
      </c>
      <c r="B9825" t="str">
        <f>"LQ5968"</f>
        <v>LQ5968</v>
      </c>
      <c r="C9825" t="s">
        <v>9631</v>
      </c>
    </row>
    <row r="9826" spans="1:3" x14ac:dyDescent="0.25">
      <c r="A9826" t="str">
        <f>"0611857062100"</f>
        <v>0611857062100</v>
      </c>
      <c r="B9826" t="str">
        <f>"LQ6272"</f>
        <v>LQ6272</v>
      </c>
      <c r="C9826" t="s">
        <v>9632</v>
      </c>
    </row>
    <row r="9827" spans="1:3" x14ac:dyDescent="0.25">
      <c r="A9827" t="str">
        <f>"0611906894100"</f>
        <v>0611906894100</v>
      </c>
      <c r="B9827" t="str">
        <f>"LQ6326"</f>
        <v>LQ6326</v>
      </c>
      <c r="C9827" t="s">
        <v>9633</v>
      </c>
    </row>
    <row r="9828" spans="1:3" x14ac:dyDescent="0.25">
      <c r="A9828" t="str">
        <f>"0611837606100"</f>
        <v>0611837606100</v>
      </c>
      <c r="B9828" t="str">
        <f>"LQ6110"</f>
        <v>LQ6110</v>
      </c>
      <c r="C9828" t="s">
        <v>9634</v>
      </c>
    </row>
    <row r="9829" spans="1:3" x14ac:dyDescent="0.25">
      <c r="A9829" t="str">
        <f>"0611837608100"</f>
        <v>0611837608100</v>
      </c>
      <c r="B9829" t="str">
        <f>"LQ6028"</f>
        <v>LQ6028</v>
      </c>
      <c r="C9829" t="s">
        <v>9635</v>
      </c>
    </row>
    <row r="9830" spans="1:3" x14ac:dyDescent="0.25">
      <c r="A9830" t="str">
        <f>"0611837609100"</f>
        <v>0611837609100</v>
      </c>
      <c r="B9830" t="str">
        <f>"LQ6111"</f>
        <v>LQ6111</v>
      </c>
      <c r="C9830" t="s">
        <v>9636</v>
      </c>
    </row>
    <row r="9831" spans="1:3" x14ac:dyDescent="0.25">
      <c r="A9831" t="str">
        <f>"0611837610100"</f>
        <v>0611837610100</v>
      </c>
      <c r="B9831" t="str">
        <f>"LK6810"</f>
        <v>LK6810</v>
      </c>
      <c r="C9831" t="s">
        <v>9637</v>
      </c>
    </row>
    <row r="9832" spans="1:3" x14ac:dyDescent="0.25">
      <c r="A9832" t="str">
        <f>"0611837611100"</f>
        <v>0611837611100</v>
      </c>
      <c r="B9832" t="str">
        <f>"LK6811"</f>
        <v>LK6811</v>
      </c>
      <c r="C9832" t="s">
        <v>9638</v>
      </c>
    </row>
    <row r="9833" spans="1:3" x14ac:dyDescent="0.25">
      <c r="A9833" t="str">
        <f>"0611837612100"</f>
        <v>0611837612100</v>
      </c>
      <c r="B9833" t="str">
        <f>"LQ6125"</f>
        <v>LQ6125</v>
      </c>
      <c r="C9833" t="s">
        <v>9639</v>
      </c>
    </row>
    <row r="9834" spans="1:3" x14ac:dyDescent="0.25">
      <c r="A9834" t="str">
        <f>"0611837613100"</f>
        <v>0611837613100</v>
      </c>
      <c r="B9834" t="str">
        <f>"LQ5969"</f>
        <v>LQ5969</v>
      </c>
      <c r="C9834" t="s">
        <v>9640</v>
      </c>
    </row>
    <row r="9835" spans="1:3" x14ac:dyDescent="0.25">
      <c r="A9835" t="str">
        <f>"0611837615100"</f>
        <v>0611837615100</v>
      </c>
      <c r="B9835" t="str">
        <f>"LQ5884"</f>
        <v>LQ5884</v>
      </c>
      <c r="C9835" t="s">
        <v>9641</v>
      </c>
    </row>
    <row r="9836" spans="1:3" x14ac:dyDescent="0.25">
      <c r="A9836" t="str">
        <f>"0611837616100"</f>
        <v>0611837616100</v>
      </c>
      <c r="B9836" t="str">
        <f>"LQ5545"</f>
        <v>LQ5545</v>
      </c>
      <c r="C9836" t="s">
        <v>9642</v>
      </c>
    </row>
    <row r="9837" spans="1:3" x14ac:dyDescent="0.25">
      <c r="A9837" t="str">
        <f>"0611906895100"</f>
        <v>0611906895100</v>
      </c>
      <c r="B9837" t="str">
        <f>"LQ6327"</f>
        <v>LQ6327</v>
      </c>
      <c r="C9837" t="s">
        <v>9643</v>
      </c>
    </row>
    <row r="9838" spans="1:3" x14ac:dyDescent="0.25">
      <c r="A9838" t="str">
        <f>"0611837617100"</f>
        <v>0611837617100</v>
      </c>
      <c r="B9838" t="str">
        <f>"LQ0455"</f>
        <v>LQ0455</v>
      </c>
      <c r="C9838" t="s">
        <v>9644</v>
      </c>
    </row>
    <row r="9839" spans="1:3" x14ac:dyDescent="0.25">
      <c r="A9839" t="str">
        <f>"0611857063100"</f>
        <v>0611857063100</v>
      </c>
      <c r="B9839" t="str">
        <f>"LQ6273"</f>
        <v>LQ6273</v>
      </c>
      <c r="C9839" t="s">
        <v>9645</v>
      </c>
    </row>
    <row r="9840" spans="1:3" x14ac:dyDescent="0.25">
      <c r="A9840" t="str">
        <f>"0611837618100"</f>
        <v>0611837618100</v>
      </c>
      <c r="B9840" t="str">
        <f>"MB5620"</f>
        <v>MB5620</v>
      </c>
      <c r="C9840" t="s">
        <v>9646</v>
      </c>
    </row>
    <row r="9841" spans="1:3" x14ac:dyDescent="0.25">
      <c r="A9841" t="str">
        <f>"0611837619100"</f>
        <v>0611837619100</v>
      </c>
      <c r="B9841" t="str">
        <f>"LB6340"</f>
        <v>LB6340</v>
      </c>
      <c r="C9841" t="s">
        <v>9647</v>
      </c>
    </row>
    <row r="9842" spans="1:3" x14ac:dyDescent="0.25">
      <c r="A9842" t="str">
        <f>"0611837620100"</f>
        <v>0611837620100</v>
      </c>
      <c r="B9842" t="str">
        <f>"LB6347"</f>
        <v>LB6347</v>
      </c>
      <c r="C9842" t="s">
        <v>9648</v>
      </c>
    </row>
    <row r="9843" spans="1:3" x14ac:dyDescent="0.25">
      <c r="A9843" t="str">
        <f>"0611837621100"</f>
        <v>0611837621100</v>
      </c>
      <c r="B9843" t="str">
        <f>"LK0318"</f>
        <v>LK0318</v>
      </c>
      <c r="C9843" t="s">
        <v>9649</v>
      </c>
    </row>
    <row r="9844" spans="1:3" x14ac:dyDescent="0.25">
      <c r="A9844" t="str">
        <f>"0611837623100"</f>
        <v>0611837623100</v>
      </c>
      <c r="B9844" t="str">
        <f>"LB7641"</f>
        <v>LB7641</v>
      </c>
      <c r="C9844" t="s">
        <v>9650</v>
      </c>
    </row>
    <row r="9845" spans="1:3" x14ac:dyDescent="0.25">
      <c r="A9845" t="str">
        <f>"0611837626100"</f>
        <v>0611837626100</v>
      </c>
      <c r="B9845" t="str">
        <f>"LB6349"</f>
        <v>LB6349</v>
      </c>
      <c r="C9845" t="s">
        <v>9651</v>
      </c>
    </row>
    <row r="9846" spans="1:3" x14ac:dyDescent="0.25">
      <c r="A9846" t="str">
        <f>"0611837631100"</f>
        <v>0611837631100</v>
      </c>
      <c r="B9846" t="str">
        <f>"LB6219"</f>
        <v>LB6219</v>
      </c>
      <c r="C9846" t="s">
        <v>9652</v>
      </c>
    </row>
    <row r="9847" spans="1:3" x14ac:dyDescent="0.25">
      <c r="A9847" t="str">
        <f>"0611837634100"</f>
        <v>0611837634100</v>
      </c>
      <c r="B9847" t="str">
        <f>"LB6343"</f>
        <v>LB6343</v>
      </c>
      <c r="C9847" t="s">
        <v>9653</v>
      </c>
    </row>
    <row r="9848" spans="1:3" x14ac:dyDescent="0.25">
      <c r="A9848" t="str">
        <f>"0611837635100"</f>
        <v>0611837635100</v>
      </c>
      <c r="B9848" t="str">
        <f>"LB6687"</f>
        <v>LB6687</v>
      </c>
      <c r="C9848" t="s">
        <v>9654</v>
      </c>
    </row>
    <row r="9849" spans="1:3" x14ac:dyDescent="0.25">
      <c r="A9849" t="str">
        <f>"0611837638100"</f>
        <v>0611837638100</v>
      </c>
      <c r="B9849" t="str">
        <f>"LB6344"</f>
        <v>LB6344</v>
      </c>
      <c r="C9849" t="s">
        <v>9656</v>
      </c>
    </row>
    <row r="9850" spans="1:3" x14ac:dyDescent="0.25">
      <c r="A9850" t="str">
        <f>"0611837639100"</f>
        <v>0611837639100</v>
      </c>
      <c r="B9850" t="str">
        <f>"LB6688"</f>
        <v>LB6688</v>
      </c>
      <c r="C9850" t="s">
        <v>9655</v>
      </c>
    </row>
    <row r="9851" spans="1:3" x14ac:dyDescent="0.25">
      <c r="A9851" t="str">
        <f>"0611837640100"</f>
        <v>0611837640100</v>
      </c>
      <c r="B9851" t="str">
        <f>"LB6359"</f>
        <v>LB6359</v>
      </c>
      <c r="C9851" t="s">
        <v>9657</v>
      </c>
    </row>
    <row r="9852" spans="1:3" x14ac:dyDescent="0.25">
      <c r="A9852" t="str">
        <f>"0611837641100"</f>
        <v>0611837641100</v>
      </c>
      <c r="B9852" t="str">
        <f>"LB6302"</f>
        <v>LB6302</v>
      </c>
      <c r="C9852" t="s">
        <v>9658</v>
      </c>
    </row>
    <row r="9853" spans="1:3" x14ac:dyDescent="0.25">
      <c r="A9853" t="str">
        <f>"0611837642100"</f>
        <v>0611837642100</v>
      </c>
      <c r="B9853" t="str">
        <f>"LB6345"</f>
        <v>LB6345</v>
      </c>
      <c r="C9853" t="s">
        <v>9659</v>
      </c>
    </row>
    <row r="9854" spans="1:3" x14ac:dyDescent="0.25">
      <c r="A9854" t="str">
        <f>"0611837643100"</f>
        <v>0611837643100</v>
      </c>
      <c r="B9854" t="str">
        <f>"LB7560"</f>
        <v>LB7560</v>
      </c>
      <c r="C9854" t="s">
        <v>9660</v>
      </c>
    </row>
    <row r="9855" spans="1:3" x14ac:dyDescent="0.25">
      <c r="A9855" t="str">
        <f>"0611837651100"</f>
        <v>0611837651100</v>
      </c>
      <c r="B9855" t="str">
        <f>"LK6518"</f>
        <v>LK6518</v>
      </c>
      <c r="C9855" t="s">
        <v>9662</v>
      </c>
    </row>
    <row r="9856" spans="1:3" x14ac:dyDescent="0.25">
      <c r="A9856" t="str">
        <f>"0611837652100"</f>
        <v>0611837652100</v>
      </c>
      <c r="B9856" t="str">
        <f>"LQ3411"</f>
        <v>LQ3411</v>
      </c>
      <c r="C9856" t="s">
        <v>9663</v>
      </c>
    </row>
    <row r="9857" spans="1:3" x14ac:dyDescent="0.25">
      <c r="A9857" t="str">
        <f>"0611863459050"</f>
        <v>0611863459050</v>
      </c>
      <c r="B9857" t="str">
        <f>"CR3550"</f>
        <v>CR3550</v>
      </c>
      <c r="C9857" t="s">
        <v>9664</v>
      </c>
    </row>
    <row r="9858" spans="1:3" x14ac:dyDescent="0.25">
      <c r="A9858" t="str">
        <f>"0611837653100"</f>
        <v>0611837653100</v>
      </c>
      <c r="B9858" t="str">
        <f>"LQ3412"</f>
        <v>LQ3412</v>
      </c>
      <c r="C9858" t="s">
        <v>9665</v>
      </c>
    </row>
    <row r="9859" spans="1:3" x14ac:dyDescent="0.25">
      <c r="A9859" t="str">
        <f>"0611863460050"</f>
        <v>0611863460050</v>
      </c>
      <c r="B9859" t="str">
        <f>"CR3551"</f>
        <v>CR3551</v>
      </c>
      <c r="C9859" t="s">
        <v>9666</v>
      </c>
    </row>
    <row r="9860" spans="1:3" x14ac:dyDescent="0.25">
      <c r="A9860" t="str">
        <f>"0611837654100"</f>
        <v>0611837654100</v>
      </c>
      <c r="B9860" t="str">
        <f>"LQ3847"</f>
        <v>LQ3847</v>
      </c>
      <c r="C9860" t="s">
        <v>9667</v>
      </c>
    </row>
    <row r="9861" spans="1:3" x14ac:dyDescent="0.25">
      <c r="A9861" t="str">
        <f>"0611863461050"</f>
        <v>0611863461050</v>
      </c>
      <c r="B9861" t="str">
        <f>"CR4039"</f>
        <v>CR4039</v>
      </c>
      <c r="C9861" t="s">
        <v>9668</v>
      </c>
    </row>
    <row r="9862" spans="1:3" x14ac:dyDescent="0.25">
      <c r="A9862" t="str">
        <f>"0611857064100"</f>
        <v>0611857064100</v>
      </c>
      <c r="B9862" t="str">
        <f>"LQ3891"</f>
        <v>LQ3891</v>
      </c>
      <c r="C9862" t="s">
        <v>9669</v>
      </c>
    </row>
    <row r="9863" spans="1:3" x14ac:dyDescent="0.25">
      <c r="A9863" t="str">
        <f>"0611837656100"</f>
        <v>0611837656100</v>
      </c>
      <c r="B9863" t="str">
        <f>"LQ3848"</f>
        <v>LQ3848</v>
      </c>
      <c r="C9863" t="s">
        <v>9670</v>
      </c>
    </row>
    <row r="9864" spans="1:3" x14ac:dyDescent="0.25">
      <c r="A9864" t="str">
        <f>"0611837657100"</f>
        <v>0611837657100</v>
      </c>
      <c r="B9864" t="str">
        <f>"LQ3413"</f>
        <v>LQ3413</v>
      </c>
      <c r="C9864" t="s">
        <v>9671</v>
      </c>
    </row>
    <row r="9865" spans="1:3" x14ac:dyDescent="0.25">
      <c r="A9865" t="str">
        <f>"0611863462050"</f>
        <v>0611863462050</v>
      </c>
      <c r="B9865" t="str">
        <f>"CR3552"</f>
        <v>CR3552</v>
      </c>
      <c r="C9865" t="s">
        <v>9672</v>
      </c>
    </row>
    <row r="9866" spans="1:3" x14ac:dyDescent="0.25">
      <c r="A9866" t="str">
        <f>"0611837658100"</f>
        <v>0611837658100</v>
      </c>
      <c r="B9866" t="str">
        <f>"LQ3760"</f>
        <v>LQ3760</v>
      </c>
      <c r="C9866" t="s">
        <v>9673</v>
      </c>
    </row>
    <row r="9867" spans="1:3" x14ac:dyDescent="0.25">
      <c r="A9867" t="str">
        <f>"0611863463050"</f>
        <v>0611863463050</v>
      </c>
      <c r="B9867" t="str">
        <f>"CR4844"</f>
        <v>CR4844</v>
      </c>
      <c r="C9867" t="s">
        <v>9674</v>
      </c>
    </row>
    <row r="9868" spans="1:3" x14ac:dyDescent="0.25">
      <c r="A9868" t="str">
        <f>"0611884371100"</f>
        <v>0611884371100</v>
      </c>
      <c r="B9868" t="str">
        <f>"LQ3920"</f>
        <v>LQ3920</v>
      </c>
      <c r="C9868" t="s">
        <v>9675</v>
      </c>
    </row>
    <row r="9869" spans="1:3" x14ac:dyDescent="0.25">
      <c r="A9869" t="str">
        <f>"0611837659100"</f>
        <v>0611837659100</v>
      </c>
      <c r="B9869" t="str">
        <f>"LQ0921"</f>
        <v>LQ0921</v>
      </c>
      <c r="C9869" t="s">
        <v>9676</v>
      </c>
    </row>
    <row r="9870" spans="1:3" x14ac:dyDescent="0.25">
      <c r="A9870" t="str">
        <f>"0611863464050"</f>
        <v>0611863464050</v>
      </c>
      <c r="B9870" t="str">
        <f>"CR4046"</f>
        <v>CR4046</v>
      </c>
      <c r="C9870" t="s">
        <v>9677</v>
      </c>
    </row>
    <row r="9871" spans="1:3" x14ac:dyDescent="0.25">
      <c r="A9871" t="str">
        <f>"0611837660100"</f>
        <v>0611837660100</v>
      </c>
      <c r="B9871" t="str">
        <f>"LQ0736"</f>
        <v>LQ0736</v>
      </c>
      <c r="C9871" t="s">
        <v>9678</v>
      </c>
    </row>
    <row r="9872" spans="1:3" x14ac:dyDescent="0.25">
      <c r="A9872" t="str">
        <f>"0611837665100"</f>
        <v>0611837665100</v>
      </c>
      <c r="B9872" t="str">
        <f>"LQ3849"</f>
        <v>LQ3849</v>
      </c>
      <c r="C9872" t="s">
        <v>9686</v>
      </c>
    </row>
    <row r="9873" spans="1:3" x14ac:dyDescent="0.25">
      <c r="A9873" t="str">
        <f>"0611863466050"</f>
        <v>0611863466050</v>
      </c>
      <c r="B9873" t="str">
        <f>"CR4991"</f>
        <v>CR4991</v>
      </c>
      <c r="C9873" t="s">
        <v>9682</v>
      </c>
    </row>
    <row r="9874" spans="1:3" x14ac:dyDescent="0.25">
      <c r="A9874" t="str">
        <f>"0611837664100"</f>
        <v>0611837664100</v>
      </c>
      <c r="B9874" t="str">
        <f>"LQ0734"</f>
        <v>LQ0734</v>
      </c>
      <c r="C9874" t="s">
        <v>9685</v>
      </c>
    </row>
    <row r="9875" spans="1:3" x14ac:dyDescent="0.25">
      <c r="A9875" t="str">
        <f>"0611863465050"</f>
        <v>0611863465050</v>
      </c>
      <c r="B9875" t="str">
        <f>"CR2450"</f>
        <v>CR2450</v>
      </c>
      <c r="C9875" t="s">
        <v>9681</v>
      </c>
    </row>
    <row r="9876" spans="1:3" x14ac:dyDescent="0.25">
      <c r="A9876" t="str">
        <f>"0611837661100"</f>
        <v>0611837661100</v>
      </c>
      <c r="B9876" t="str">
        <f>"LQ0809"</f>
        <v>LQ0809</v>
      </c>
      <c r="C9876" t="s">
        <v>9687</v>
      </c>
    </row>
    <row r="9877" spans="1:3" x14ac:dyDescent="0.25">
      <c r="A9877" t="str">
        <f>"0611863469050"</f>
        <v>0611863469050</v>
      </c>
      <c r="B9877" t="str">
        <f>"CR2449"</f>
        <v>CR2449</v>
      </c>
      <c r="C9877" t="s">
        <v>9688</v>
      </c>
    </row>
    <row r="9878" spans="1:3" x14ac:dyDescent="0.25">
      <c r="A9878" t="str">
        <f>"0611837662100"</f>
        <v>0611837662100</v>
      </c>
      <c r="B9878" t="str">
        <f>"LQ3761"</f>
        <v>LQ3761</v>
      </c>
      <c r="C9878" t="s">
        <v>9689</v>
      </c>
    </row>
    <row r="9879" spans="1:3" x14ac:dyDescent="0.25">
      <c r="A9879" t="str">
        <f>"0611863467050"</f>
        <v>0611863467050</v>
      </c>
      <c r="B9879" t="str">
        <f>"CR4845"</f>
        <v>CR4845</v>
      </c>
      <c r="C9879" t="s">
        <v>9683</v>
      </c>
    </row>
    <row r="9880" spans="1:3" x14ac:dyDescent="0.25">
      <c r="A9880" t="str">
        <f>"0611837663100"</f>
        <v>0611837663100</v>
      </c>
      <c r="B9880" t="str">
        <f>"LQ3414"</f>
        <v>LQ3414</v>
      </c>
      <c r="C9880" t="s">
        <v>9690</v>
      </c>
    </row>
    <row r="9881" spans="1:3" x14ac:dyDescent="0.25">
      <c r="A9881" t="str">
        <f>"0611863468050"</f>
        <v>0611863468050</v>
      </c>
      <c r="B9881" t="str">
        <f>"CR3553"</f>
        <v>CR3553</v>
      </c>
      <c r="C9881" t="s">
        <v>9684</v>
      </c>
    </row>
    <row r="9882" spans="1:3" x14ac:dyDescent="0.25">
      <c r="A9882" t="str">
        <f>"0611837666100"</f>
        <v>0611837666100</v>
      </c>
      <c r="B9882" t="str">
        <f>"LQ3415"</f>
        <v>LQ3415</v>
      </c>
      <c r="C9882" t="s">
        <v>9679</v>
      </c>
    </row>
    <row r="9883" spans="1:3" x14ac:dyDescent="0.25">
      <c r="A9883" t="str">
        <f>"0611863470050"</f>
        <v>0611863470050</v>
      </c>
      <c r="B9883" t="str">
        <f>"CR3554"</f>
        <v>CR3554</v>
      </c>
      <c r="C9883" t="s">
        <v>9691</v>
      </c>
    </row>
    <row r="9884" spans="1:3" x14ac:dyDescent="0.25">
      <c r="A9884" t="str">
        <f>"0611837668100"</f>
        <v>0611837668100</v>
      </c>
      <c r="B9884" t="str">
        <f>"LQ3850"</f>
        <v>LQ3850</v>
      </c>
      <c r="C9884" t="s">
        <v>9680</v>
      </c>
    </row>
    <row r="9885" spans="1:3" x14ac:dyDescent="0.25">
      <c r="A9885" t="str">
        <f>"0611863471050"</f>
        <v>0611863471050</v>
      </c>
      <c r="B9885" t="str">
        <f>"CR4992"</f>
        <v>CR4992</v>
      </c>
      <c r="C9885" t="s">
        <v>9692</v>
      </c>
    </row>
    <row r="9886" spans="1:3" x14ac:dyDescent="0.25">
      <c r="A9886" t="str">
        <f>"0611837670100"</f>
        <v>0611837670100</v>
      </c>
      <c r="B9886" t="str">
        <f>"LQ3767"</f>
        <v>LQ3767</v>
      </c>
      <c r="C9886" t="s">
        <v>9693</v>
      </c>
    </row>
    <row r="9887" spans="1:3" x14ac:dyDescent="0.25">
      <c r="A9887" t="str">
        <f>"0611863472050"</f>
        <v>0611863472050</v>
      </c>
      <c r="B9887" t="str">
        <f>"CR4993"</f>
        <v>CR4993</v>
      </c>
      <c r="C9887" t="s">
        <v>9694</v>
      </c>
    </row>
    <row r="9888" spans="1:3" x14ac:dyDescent="0.25">
      <c r="A9888" t="str">
        <f>"0611837671100"</f>
        <v>0611837671100</v>
      </c>
      <c r="B9888" t="str">
        <f>"LQ0922"</f>
        <v>LQ0922</v>
      </c>
      <c r="C9888" t="s">
        <v>9695</v>
      </c>
    </row>
    <row r="9889" spans="1:3" x14ac:dyDescent="0.25">
      <c r="A9889" t="str">
        <f>"0611863473050"</f>
        <v>0611863473050</v>
      </c>
      <c r="B9889" t="str">
        <f>"CR4047"</f>
        <v>CR4047</v>
      </c>
      <c r="C9889" t="s">
        <v>9696</v>
      </c>
    </row>
    <row r="9890" spans="1:3" x14ac:dyDescent="0.25">
      <c r="A9890" t="str">
        <f>"0611906896100"</f>
        <v>0611906896100</v>
      </c>
      <c r="B9890" t="str">
        <f>"LQ3977"</f>
        <v>LQ3977</v>
      </c>
      <c r="C9890" t="s">
        <v>9697</v>
      </c>
    </row>
    <row r="9891" spans="1:3" x14ac:dyDescent="0.25">
      <c r="A9891" t="str">
        <f>"0611837673100"</f>
        <v>0611837673100</v>
      </c>
      <c r="B9891" t="str">
        <f>"LQ3762"</f>
        <v>LQ3762</v>
      </c>
      <c r="C9891" t="s">
        <v>9698</v>
      </c>
    </row>
    <row r="9892" spans="1:3" x14ac:dyDescent="0.25">
      <c r="A9892" t="str">
        <f>"0611863474050"</f>
        <v>0611863474050</v>
      </c>
      <c r="B9892" t="str">
        <f>"CR4846"</f>
        <v>CR4846</v>
      </c>
      <c r="C9892" t="s">
        <v>9699</v>
      </c>
    </row>
    <row r="9893" spans="1:3" x14ac:dyDescent="0.25">
      <c r="A9893" t="str">
        <f>"0611837674100"</f>
        <v>0611837674100</v>
      </c>
      <c r="B9893" t="str">
        <f>"LQ3609"</f>
        <v>LQ3609</v>
      </c>
      <c r="C9893" t="s">
        <v>9700</v>
      </c>
    </row>
    <row r="9894" spans="1:3" x14ac:dyDescent="0.25">
      <c r="A9894" t="str">
        <f>"0611863475050"</f>
        <v>0611863475050</v>
      </c>
      <c r="B9894" t="str">
        <f>"CR4044"</f>
        <v>CR4044</v>
      </c>
      <c r="C9894" t="s">
        <v>9701</v>
      </c>
    </row>
    <row r="9895" spans="1:3" x14ac:dyDescent="0.25">
      <c r="A9895" t="str">
        <f>"0611884372100"</f>
        <v>0611884372100</v>
      </c>
      <c r="B9895" t="str">
        <f>"LQ3921"</f>
        <v>LQ3921</v>
      </c>
      <c r="C9895" t="s">
        <v>9702</v>
      </c>
    </row>
    <row r="9896" spans="1:3" x14ac:dyDescent="0.25">
      <c r="A9896" t="str">
        <f>"0611893643050"</f>
        <v>0611893643050</v>
      </c>
      <c r="B9896" t="str">
        <f>"CR5366"</f>
        <v>CR5366</v>
      </c>
      <c r="C9896" t="s">
        <v>9703</v>
      </c>
    </row>
    <row r="9897" spans="1:3" x14ac:dyDescent="0.25">
      <c r="A9897" t="str">
        <f>"0611837675100"</f>
        <v>0611837675100</v>
      </c>
      <c r="B9897" t="str">
        <f>"LQ3763"</f>
        <v>LQ3763</v>
      </c>
      <c r="C9897" t="s">
        <v>9704</v>
      </c>
    </row>
    <row r="9898" spans="1:3" x14ac:dyDescent="0.25">
      <c r="A9898" t="str">
        <f>"0611837676100"</f>
        <v>0611837676100</v>
      </c>
      <c r="B9898" t="str">
        <f>"LQ3416"</f>
        <v>LQ3416</v>
      </c>
      <c r="C9898" t="s">
        <v>9705</v>
      </c>
    </row>
    <row r="9899" spans="1:3" x14ac:dyDescent="0.25">
      <c r="A9899" t="str">
        <f>"0611837677100"</f>
        <v>0611837677100</v>
      </c>
      <c r="B9899" t="str">
        <f>"LQ3851"</f>
        <v>LQ3851</v>
      </c>
      <c r="C9899" t="s">
        <v>9706</v>
      </c>
    </row>
    <row r="9900" spans="1:3" x14ac:dyDescent="0.25">
      <c r="A9900" t="str">
        <f>"0611837678100"</f>
        <v>0611837678100</v>
      </c>
      <c r="B9900" t="str">
        <f>"LQ0888"</f>
        <v>LQ0888</v>
      </c>
      <c r="C9900" t="s">
        <v>9707</v>
      </c>
    </row>
    <row r="9901" spans="1:3" x14ac:dyDescent="0.25">
      <c r="A9901" t="str">
        <f>"0611893644050"</f>
        <v>0611893644050</v>
      </c>
      <c r="B9901" t="str">
        <f>"CR5447"</f>
        <v>CR5447</v>
      </c>
      <c r="C9901" t="s">
        <v>9708</v>
      </c>
    </row>
    <row r="9902" spans="1:3" x14ac:dyDescent="0.25">
      <c r="A9902" t="str">
        <f>"0611837679100"</f>
        <v>0611837679100</v>
      </c>
      <c r="B9902" t="str">
        <f>"LQ3764"</f>
        <v>LQ3764</v>
      </c>
      <c r="C9902" t="s">
        <v>9709</v>
      </c>
    </row>
    <row r="9903" spans="1:3" x14ac:dyDescent="0.25">
      <c r="A9903" t="str">
        <f>"0611863476050"</f>
        <v>0611863476050</v>
      </c>
      <c r="B9903" t="str">
        <f>"CR4847"</f>
        <v>CR4847</v>
      </c>
      <c r="C9903" t="s">
        <v>9710</v>
      </c>
    </row>
    <row r="9904" spans="1:3" x14ac:dyDescent="0.25">
      <c r="A9904" t="str">
        <f>"0611837680100"</f>
        <v>0611837680100</v>
      </c>
      <c r="B9904" t="str">
        <f>"LQ3765"</f>
        <v>LQ3765</v>
      </c>
      <c r="C9904" t="s">
        <v>9711</v>
      </c>
    </row>
    <row r="9905" spans="1:3" x14ac:dyDescent="0.25">
      <c r="A9905" t="str">
        <f>"0611863477050"</f>
        <v>0611863477050</v>
      </c>
      <c r="B9905" t="str">
        <f>"CR4848"</f>
        <v>CR4848</v>
      </c>
      <c r="C9905" t="s">
        <v>9712</v>
      </c>
    </row>
    <row r="9906" spans="1:3" x14ac:dyDescent="0.25">
      <c r="A9906" t="str">
        <f>"0611884373100"</f>
        <v>0611884373100</v>
      </c>
      <c r="B9906" t="str">
        <f>"LQ3922"</f>
        <v>LQ3922</v>
      </c>
      <c r="C9906" t="s">
        <v>9713</v>
      </c>
    </row>
    <row r="9907" spans="1:3" x14ac:dyDescent="0.25">
      <c r="A9907" t="str">
        <f>"0611857065100"</f>
        <v>0611857065100</v>
      </c>
      <c r="B9907" t="str">
        <f>"LQ3892"</f>
        <v>LQ3892</v>
      </c>
      <c r="C9907" t="s">
        <v>9714</v>
      </c>
    </row>
    <row r="9908" spans="1:3" x14ac:dyDescent="0.25">
      <c r="A9908" t="str">
        <f>"0611857066100"</f>
        <v>0611857066100</v>
      </c>
      <c r="B9908" t="str">
        <f>"LQ3893"</f>
        <v>LQ3893</v>
      </c>
      <c r="C9908" t="s">
        <v>9715</v>
      </c>
    </row>
    <row r="9909" spans="1:3" x14ac:dyDescent="0.25">
      <c r="A9909" t="str">
        <f>"0611837682100"</f>
        <v>0611837682100</v>
      </c>
      <c r="B9909" t="str">
        <f>"LQ0923"</f>
        <v>LQ0923</v>
      </c>
      <c r="C9909" t="s">
        <v>9716</v>
      </c>
    </row>
    <row r="9910" spans="1:3" x14ac:dyDescent="0.25">
      <c r="A9910" t="str">
        <f>"0611863478050"</f>
        <v>0611863478050</v>
      </c>
      <c r="B9910" t="str">
        <f>"CR5219"</f>
        <v>CR5219</v>
      </c>
      <c r="C9910" t="s">
        <v>9717</v>
      </c>
    </row>
    <row r="9911" spans="1:3" x14ac:dyDescent="0.25">
      <c r="A9911" t="str">
        <f>"0611837683100"</f>
        <v>0611837683100</v>
      </c>
      <c r="B9911" t="str">
        <f>"LQ0914"</f>
        <v>LQ0914</v>
      </c>
      <c r="C9911" t="s">
        <v>9718</v>
      </c>
    </row>
    <row r="9912" spans="1:3" x14ac:dyDescent="0.25">
      <c r="A9912" t="str">
        <f>"0611837684100"</f>
        <v>0611837684100</v>
      </c>
      <c r="B9912" t="str">
        <f>"LQ3611"</f>
        <v>LQ3611</v>
      </c>
      <c r="C9912" t="s">
        <v>9719</v>
      </c>
    </row>
    <row r="9913" spans="1:3" x14ac:dyDescent="0.25">
      <c r="A9913" t="str">
        <f>"0611837685100"</f>
        <v>0611837685100</v>
      </c>
      <c r="B9913" t="str">
        <f>"LQ0737"</f>
        <v>LQ0737</v>
      </c>
      <c r="C9913" t="s">
        <v>9720</v>
      </c>
    </row>
    <row r="9914" spans="1:3" x14ac:dyDescent="0.25">
      <c r="A9914" t="str">
        <f>"0611863479050"</f>
        <v>0611863479050</v>
      </c>
      <c r="B9914" t="str">
        <f>"CR2737"</f>
        <v>CR2737</v>
      </c>
      <c r="C9914" t="s">
        <v>9721</v>
      </c>
    </row>
    <row r="9915" spans="1:3" x14ac:dyDescent="0.25">
      <c r="A9915" t="str">
        <f>"0611863480050"</f>
        <v>0611863480050</v>
      </c>
      <c r="B9915" t="str">
        <f>"CR4045"</f>
        <v>CR4045</v>
      </c>
      <c r="C9915" t="s">
        <v>9722</v>
      </c>
    </row>
    <row r="9916" spans="1:3" x14ac:dyDescent="0.25">
      <c r="A9916" t="str">
        <f>"0611857067100"</f>
        <v>0611857067100</v>
      </c>
      <c r="B9916" t="str">
        <f>"LQ3894"</f>
        <v>LQ3894</v>
      </c>
      <c r="C9916" t="s">
        <v>9723</v>
      </c>
    </row>
    <row r="9917" spans="1:3" x14ac:dyDescent="0.25">
      <c r="A9917" t="str">
        <f>"0611863481050"</f>
        <v>0611863481050</v>
      </c>
      <c r="B9917" t="str">
        <f>"CR5220"</f>
        <v>CR5220</v>
      </c>
      <c r="C9917" t="s">
        <v>9724</v>
      </c>
    </row>
    <row r="9918" spans="1:3" x14ac:dyDescent="0.25">
      <c r="A9918" t="str">
        <f>"0611837687100"</f>
        <v>0611837687100</v>
      </c>
      <c r="B9918" t="str">
        <f>"LQ0811"</f>
        <v>LQ0811</v>
      </c>
      <c r="C9918" t="s">
        <v>9725</v>
      </c>
    </row>
    <row r="9919" spans="1:3" x14ac:dyDescent="0.25">
      <c r="A9919" t="str">
        <f>"0611863482050"</f>
        <v>0611863482050</v>
      </c>
      <c r="B9919" t="str">
        <f>"CR2452"</f>
        <v>CR2452</v>
      </c>
      <c r="C9919" t="s">
        <v>9726</v>
      </c>
    </row>
    <row r="9920" spans="1:3" x14ac:dyDescent="0.25">
      <c r="A9920" t="str">
        <f>"0611837691100"</f>
        <v>0611837691100</v>
      </c>
      <c r="B9920" t="str">
        <f>"LQ3852"</f>
        <v>LQ3852</v>
      </c>
      <c r="C9920" t="s">
        <v>9731</v>
      </c>
    </row>
    <row r="9921" spans="1:3" x14ac:dyDescent="0.25">
      <c r="A9921" t="str">
        <f>"0611863483050"</f>
        <v>0611863483050</v>
      </c>
      <c r="B9921" t="str">
        <f>"CR4994"</f>
        <v>CR4994</v>
      </c>
      <c r="C9921" t="s">
        <v>9727</v>
      </c>
    </row>
    <row r="9922" spans="1:3" x14ac:dyDescent="0.25">
      <c r="A9922" t="str">
        <f>"0611837688100"</f>
        <v>0611837688100</v>
      </c>
      <c r="B9922" t="str">
        <f>"LQ3853"</f>
        <v>LQ3853</v>
      </c>
      <c r="C9922" t="s">
        <v>9728</v>
      </c>
    </row>
    <row r="9923" spans="1:3" x14ac:dyDescent="0.25">
      <c r="A9923" t="str">
        <f>"0611837692100"</f>
        <v>0611837692100</v>
      </c>
      <c r="B9923" t="str">
        <f>"LQ0738"</f>
        <v>LQ0738</v>
      </c>
      <c r="C9923" t="s">
        <v>9732</v>
      </c>
    </row>
    <row r="9924" spans="1:3" x14ac:dyDescent="0.25">
      <c r="A9924" t="str">
        <f>"0611837689100"</f>
        <v>0611837689100</v>
      </c>
      <c r="B9924" t="str">
        <f>"LQ5890"</f>
        <v>LQ5890</v>
      </c>
      <c r="C9924" t="s">
        <v>9729</v>
      </c>
    </row>
    <row r="9925" spans="1:3" x14ac:dyDescent="0.25">
      <c r="A9925" t="str">
        <f>"0611863484050"</f>
        <v>0611863484050</v>
      </c>
      <c r="B9925" t="str">
        <f>"CR2454"</f>
        <v>CR2454</v>
      </c>
      <c r="C9925" t="s">
        <v>9730</v>
      </c>
    </row>
    <row r="9926" spans="1:3" x14ac:dyDescent="0.25">
      <c r="A9926" t="str">
        <f>"0611837693100"</f>
        <v>0611837693100</v>
      </c>
      <c r="B9926" t="str">
        <f>"LQ0891"</f>
        <v>LQ0891</v>
      </c>
      <c r="C9926" t="s">
        <v>9733</v>
      </c>
    </row>
    <row r="9927" spans="1:3" x14ac:dyDescent="0.25">
      <c r="A9927" t="str">
        <f>"0611863485050"</f>
        <v>0611863485050</v>
      </c>
      <c r="B9927" t="str">
        <f>"CR2792"</f>
        <v>CR2792</v>
      </c>
      <c r="C9927" t="s">
        <v>9734</v>
      </c>
    </row>
    <row r="9928" spans="1:3" x14ac:dyDescent="0.25">
      <c r="A9928" t="str">
        <f>"0611837694100"</f>
        <v>0611837694100</v>
      </c>
      <c r="B9928" t="str">
        <f>"LQ3854"</f>
        <v>LQ3854</v>
      </c>
      <c r="C9928" t="s">
        <v>9735</v>
      </c>
    </row>
    <row r="9929" spans="1:3" x14ac:dyDescent="0.25">
      <c r="A9929" t="str">
        <f>"0611863486050"</f>
        <v>0611863486050</v>
      </c>
      <c r="B9929" t="str">
        <f>"CR4995"</f>
        <v>CR4995</v>
      </c>
      <c r="C9929" t="s">
        <v>9736</v>
      </c>
    </row>
    <row r="9930" spans="1:3" x14ac:dyDescent="0.25">
      <c r="A9930" t="str">
        <f>"0611837695100"</f>
        <v>0611837695100</v>
      </c>
      <c r="B9930" t="str">
        <f>"LQ0892"</f>
        <v>LQ0892</v>
      </c>
      <c r="C9930" t="s">
        <v>9737</v>
      </c>
    </row>
    <row r="9931" spans="1:3" x14ac:dyDescent="0.25">
      <c r="A9931" t="str">
        <f>"0611863487050"</f>
        <v>0611863487050</v>
      </c>
      <c r="B9931" t="str">
        <f>"CR2794"</f>
        <v>CR2794</v>
      </c>
      <c r="C9931" t="s">
        <v>9738</v>
      </c>
    </row>
    <row r="9932" spans="1:3" x14ac:dyDescent="0.25">
      <c r="A9932" t="str">
        <f>"0611863488050"</f>
        <v>0611863488050</v>
      </c>
      <c r="B9932" t="str">
        <f>"CR4996"</f>
        <v>CR4996</v>
      </c>
      <c r="C9932" t="s">
        <v>9739</v>
      </c>
    </row>
    <row r="9933" spans="1:3" x14ac:dyDescent="0.25">
      <c r="A9933" t="str">
        <f>"0611837697100"</f>
        <v>0611837697100</v>
      </c>
      <c r="B9933" t="str">
        <f>"LQ3766"</f>
        <v>LQ3766</v>
      </c>
      <c r="C9933" t="s">
        <v>9740</v>
      </c>
    </row>
    <row r="9934" spans="1:3" x14ac:dyDescent="0.25">
      <c r="A9934" t="str">
        <f>"0611863489050"</f>
        <v>0611863489050</v>
      </c>
      <c r="B9934" t="str">
        <f>"CR4849"</f>
        <v>CR4849</v>
      </c>
      <c r="C9934" t="s">
        <v>9741</v>
      </c>
    </row>
    <row r="9935" spans="1:3" x14ac:dyDescent="0.25">
      <c r="A9935" t="str">
        <f>"0611857068100"</f>
        <v>0611857068100</v>
      </c>
      <c r="B9935" t="str">
        <f>"LQ3895"</f>
        <v>LQ3895</v>
      </c>
      <c r="C9935" t="s">
        <v>9745</v>
      </c>
    </row>
    <row r="9936" spans="1:3" x14ac:dyDescent="0.25">
      <c r="A9936" t="str">
        <f>"0611863490050"</f>
        <v>0611863490050</v>
      </c>
      <c r="B9936" t="str">
        <f>"CR5221"</f>
        <v>CR5221</v>
      </c>
      <c r="C9936" t="s">
        <v>9742</v>
      </c>
    </row>
    <row r="9937" spans="1:3" x14ac:dyDescent="0.25">
      <c r="A9937" t="str">
        <f>"0611837701100"</f>
        <v>0611837701100</v>
      </c>
      <c r="B9937" t="str">
        <f>"LQ3856"</f>
        <v>LQ3856</v>
      </c>
      <c r="C9937" t="s">
        <v>9746</v>
      </c>
    </row>
    <row r="9938" spans="1:3" x14ac:dyDescent="0.25">
      <c r="A9938" t="str">
        <f>"0611863493050"</f>
        <v>0611863493050</v>
      </c>
      <c r="B9938" t="str">
        <f>"CR4997"</f>
        <v>CR4997</v>
      </c>
      <c r="C9938" t="s">
        <v>9747</v>
      </c>
    </row>
    <row r="9939" spans="1:3" x14ac:dyDescent="0.25">
      <c r="A9939" t="str">
        <f>"0611837698100"</f>
        <v>0611837698100</v>
      </c>
      <c r="B9939" t="str">
        <f>"LQ0813"</f>
        <v>LQ0813</v>
      </c>
      <c r="C9939" t="s">
        <v>9748</v>
      </c>
    </row>
    <row r="9940" spans="1:3" x14ac:dyDescent="0.25">
      <c r="A9940" t="str">
        <f>"0611863491050"</f>
        <v>0611863491050</v>
      </c>
      <c r="B9940" t="str">
        <f>"CR2455"</f>
        <v>CR2455</v>
      </c>
      <c r="C9940" t="s">
        <v>9743</v>
      </c>
    </row>
    <row r="9941" spans="1:3" x14ac:dyDescent="0.25">
      <c r="A9941" t="str">
        <f>"0611837699100"</f>
        <v>0611837699100</v>
      </c>
      <c r="B9941" t="str">
        <f>"LQ0924"</f>
        <v>LQ0924</v>
      </c>
      <c r="C9941" t="s">
        <v>9744</v>
      </c>
    </row>
    <row r="9942" spans="1:3" x14ac:dyDescent="0.25">
      <c r="A9942" t="str">
        <f>"0611863492050"</f>
        <v>0611863492050</v>
      </c>
      <c r="B9942" t="str">
        <f>"CR4048"</f>
        <v>CR4048</v>
      </c>
      <c r="C9942" t="s">
        <v>13922</v>
      </c>
    </row>
    <row r="9943" spans="1:3" x14ac:dyDescent="0.25">
      <c r="A9943" t="str">
        <f>"0611857069100"</f>
        <v>0611857069100</v>
      </c>
      <c r="B9943" t="str">
        <f>"LQ3896"</f>
        <v>LQ3896</v>
      </c>
      <c r="C9943" t="s">
        <v>9749</v>
      </c>
    </row>
    <row r="9944" spans="1:3" x14ac:dyDescent="0.25">
      <c r="A9944" t="str">
        <f>"0611837702100"</f>
        <v>0611837702100</v>
      </c>
      <c r="B9944" t="str">
        <f>"LQ0926"</f>
        <v>LQ0926</v>
      </c>
      <c r="C9944" t="s">
        <v>9750</v>
      </c>
    </row>
    <row r="9945" spans="1:3" x14ac:dyDescent="0.25">
      <c r="A9945" t="str">
        <f>"0611863494050"</f>
        <v>0611863494050</v>
      </c>
      <c r="B9945" t="str">
        <f>"CR4049"</f>
        <v>CR4049</v>
      </c>
      <c r="C9945" t="s">
        <v>13923</v>
      </c>
    </row>
    <row r="9946" spans="1:3" x14ac:dyDescent="0.25">
      <c r="A9946" t="str">
        <f>"0611837705100"</f>
        <v>0611837705100</v>
      </c>
      <c r="B9946" t="str">
        <f>"LQ0731"</f>
        <v>LQ0731</v>
      </c>
      <c r="C9946" t="s">
        <v>9751</v>
      </c>
    </row>
    <row r="9947" spans="1:3" x14ac:dyDescent="0.25">
      <c r="A9947" t="str">
        <f>"0611863495050"</f>
        <v>0611863495050</v>
      </c>
      <c r="B9947" t="str">
        <f>"CR2456"</f>
        <v>CR2456</v>
      </c>
      <c r="C9947" t="s">
        <v>9752</v>
      </c>
    </row>
    <row r="9948" spans="1:3" x14ac:dyDescent="0.25">
      <c r="A9948" t="str">
        <f>"0611837703100"</f>
        <v>0611837703100</v>
      </c>
      <c r="B9948" t="str">
        <f>"LQ3613"</f>
        <v>LQ3613</v>
      </c>
      <c r="C9948" t="s">
        <v>9753</v>
      </c>
    </row>
    <row r="9949" spans="1:3" x14ac:dyDescent="0.25">
      <c r="A9949" t="str">
        <f>"0611863496050"</f>
        <v>0611863496050</v>
      </c>
      <c r="B9949" t="str">
        <f>"CR3557"</f>
        <v>CR3557</v>
      </c>
      <c r="C9949" t="s">
        <v>13924</v>
      </c>
    </row>
    <row r="9950" spans="1:3" x14ac:dyDescent="0.25">
      <c r="A9950" t="str">
        <f>"0611837706100"</f>
        <v>0611837706100</v>
      </c>
      <c r="B9950" t="str">
        <f>"LQ0927"</f>
        <v>LQ0927</v>
      </c>
      <c r="C9950" t="s">
        <v>9754</v>
      </c>
    </row>
    <row r="9951" spans="1:3" x14ac:dyDescent="0.25">
      <c r="A9951" t="str">
        <f>"0611863497050"</f>
        <v>0611863497050</v>
      </c>
      <c r="B9951" t="str">
        <f>"CR4050"</f>
        <v>CR4050</v>
      </c>
      <c r="C9951" t="s">
        <v>9755</v>
      </c>
    </row>
    <row r="9952" spans="1:3" x14ac:dyDescent="0.25">
      <c r="A9952" t="str">
        <f>"0611837707100"</f>
        <v>0611837707100</v>
      </c>
      <c r="B9952" t="str">
        <f>"LQ0920"</f>
        <v>LQ0920</v>
      </c>
      <c r="C9952" t="s">
        <v>9756</v>
      </c>
    </row>
    <row r="9953" spans="1:3" x14ac:dyDescent="0.25">
      <c r="A9953" t="str">
        <f>"0611837708100"</f>
        <v>0611837708100</v>
      </c>
      <c r="B9953" t="str">
        <f>"LQ0814"</f>
        <v>LQ0814</v>
      </c>
      <c r="C9953" t="s">
        <v>9757</v>
      </c>
    </row>
    <row r="9954" spans="1:3" x14ac:dyDescent="0.25">
      <c r="A9954" t="str">
        <f>"0611863498050"</f>
        <v>0611863498050</v>
      </c>
      <c r="B9954" t="str">
        <f>"CR2458"</f>
        <v>CR2458</v>
      </c>
      <c r="C9954" t="s">
        <v>9758</v>
      </c>
    </row>
    <row r="9955" spans="1:3" x14ac:dyDescent="0.25">
      <c r="A9955" t="str">
        <f>"0611837709100"</f>
        <v>0611837709100</v>
      </c>
      <c r="B9955" t="str">
        <f>"LQ0732"</f>
        <v>LQ0732</v>
      </c>
      <c r="C9955" t="s">
        <v>9759</v>
      </c>
    </row>
    <row r="9956" spans="1:3" x14ac:dyDescent="0.25">
      <c r="A9956" t="str">
        <f>"0611863499050"</f>
        <v>0611863499050</v>
      </c>
      <c r="B9956" t="str">
        <f>"CR2457"</f>
        <v>CR2457</v>
      </c>
      <c r="C9956" t="s">
        <v>9760</v>
      </c>
    </row>
    <row r="9957" spans="1:3" x14ac:dyDescent="0.25">
      <c r="A9957" t="str">
        <f>"0611837710100"</f>
        <v>0611837710100</v>
      </c>
      <c r="B9957" t="str">
        <f>"LQ0928"</f>
        <v>LQ0928</v>
      </c>
      <c r="C9957" t="s">
        <v>9761</v>
      </c>
    </row>
    <row r="9958" spans="1:3" x14ac:dyDescent="0.25">
      <c r="A9958" t="str">
        <f>"0611906897100"</f>
        <v>0611906897100</v>
      </c>
      <c r="B9958" t="str">
        <f>"LQ3978"</f>
        <v>LQ3978</v>
      </c>
      <c r="C9958" t="s">
        <v>9762</v>
      </c>
    </row>
    <row r="9959" spans="1:3" x14ac:dyDescent="0.25">
      <c r="A9959" t="str">
        <f>"0611837711100"</f>
        <v>0611837711100</v>
      </c>
      <c r="B9959" t="str">
        <f>"LQ0683"</f>
        <v>LQ0683</v>
      </c>
      <c r="C9959" t="s">
        <v>9763</v>
      </c>
    </row>
    <row r="9960" spans="1:3" x14ac:dyDescent="0.25">
      <c r="A9960" t="str">
        <f>"0611837712100"</f>
        <v>0611837712100</v>
      </c>
      <c r="B9960" t="str">
        <f>"LQ0929"</f>
        <v>LQ0929</v>
      </c>
      <c r="C9960" t="s">
        <v>9764</v>
      </c>
    </row>
    <row r="9961" spans="1:3" x14ac:dyDescent="0.25">
      <c r="A9961" t="str">
        <f>"0611837713100"</f>
        <v>0611837713100</v>
      </c>
      <c r="B9961" t="str">
        <f>"LQ0930"</f>
        <v>LQ0930</v>
      </c>
      <c r="C9961" t="s">
        <v>9765</v>
      </c>
    </row>
    <row r="9962" spans="1:3" x14ac:dyDescent="0.25">
      <c r="A9962" t="str">
        <f>"0611863500050"</f>
        <v>0611863500050</v>
      </c>
      <c r="B9962" t="str">
        <f>"CR4051"</f>
        <v>CR4051</v>
      </c>
      <c r="C9962" t="s">
        <v>9766</v>
      </c>
    </row>
    <row r="9963" spans="1:3" x14ac:dyDescent="0.25">
      <c r="A9963" t="str">
        <f>"0611837714100"</f>
        <v>0611837714100</v>
      </c>
      <c r="B9963" t="str">
        <f>"LQ0733"</f>
        <v>LQ0733</v>
      </c>
      <c r="C9963" t="s">
        <v>9767</v>
      </c>
    </row>
    <row r="9964" spans="1:3" x14ac:dyDescent="0.25">
      <c r="A9964" t="str">
        <f>"0611837716100"</f>
        <v>0611837716100</v>
      </c>
      <c r="B9964" t="str">
        <f>"LQ3615"</f>
        <v>LQ3615</v>
      </c>
      <c r="C9964" t="s">
        <v>9768</v>
      </c>
    </row>
    <row r="9965" spans="1:3" x14ac:dyDescent="0.25">
      <c r="A9965" t="str">
        <f>"0611893645050"</f>
        <v>0611893645050</v>
      </c>
      <c r="B9965" t="str">
        <f>"CR5334"</f>
        <v>CR5334</v>
      </c>
      <c r="C9965" t="s">
        <v>9769</v>
      </c>
    </row>
    <row r="9966" spans="1:3" x14ac:dyDescent="0.25">
      <c r="A9966" t="str">
        <f>"0611837717100"</f>
        <v>0611837717100</v>
      </c>
      <c r="B9966" t="str">
        <f>"LQ5892"</f>
        <v>LQ5892</v>
      </c>
      <c r="C9966" t="s">
        <v>9770</v>
      </c>
    </row>
    <row r="9967" spans="1:3" x14ac:dyDescent="0.25">
      <c r="A9967" t="str">
        <f>"0611863501050"</f>
        <v>0611863501050</v>
      </c>
      <c r="B9967" t="str">
        <f>"CR4998"</f>
        <v>CR4998</v>
      </c>
      <c r="C9967" t="s">
        <v>9771</v>
      </c>
    </row>
    <row r="9968" spans="1:3" x14ac:dyDescent="0.25">
      <c r="A9968" t="str">
        <f>"0611837718100"</f>
        <v>0611837718100</v>
      </c>
      <c r="B9968" t="str">
        <f>"LQ0931"</f>
        <v>LQ0931</v>
      </c>
      <c r="C9968" t="s">
        <v>9772</v>
      </c>
    </row>
    <row r="9969" spans="1:3" x14ac:dyDescent="0.25">
      <c r="A9969" t="str">
        <f>"0611863502050"</f>
        <v>0611863502050</v>
      </c>
      <c r="B9969" t="str">
        <f>"CR4052"</f>
        <v>CR4052</v>
      </c>
      <c r="C9969" t="s">
        <v>9773</v>
      </c>
    </row>
    <row r="9970" spans="1:3" x14ac:dyDescent="0.25">
      <c r="A9970" t="str">
        <f>"0611863503050"</f>
        <v>0611863503050</v>
      </c>
      <c r="B9970" t="str">
        <f>"CR4999"</f>
        <v>CR4999</v>
      </c>
      <c r="C9970" t="s">
        <v>9774</v>
      </c>
    </row>
    <row r="9971" spans="1:3" x14ac:dyDescent="0.25">
      <c r="A9971" t="str">
        <f>"0611837722100"</f>
        <v>0611837722100</v>
      </c>
      <c r="B9971" t="str">
        <f>"LQ3418"</f>
        <v>LQ3418</v>
      </c>
      <c r="C9971" t="s">
        <v>9775</v>
      </c>
    </row>
    <row r="9972" spans="1:3" x14ac:dyDescent="0.25">
      <c r="A9972" t="str">
        <f>"0611837724100"</f>
        <v>0611837724100</v>
      </c>
      <c r="B9972" t="str">
        <f>"LB6362"</f>
        <v>LB6362</v>
      </c>
      <c r="C9972" t="s">
        <v>9776</v>
      </c>
    </row>
    <row r="9973" spans="1:3" x14ac:dyDescent="0.25">
      <c r="A9973" t="str">
        <f>"0611837725100"</f>
        <v>0611837725100</v>
      </c>
      <c r="B9973" t="str">
        <f>"LB6354"</f>
        <v>LB6354</v>
      </c>
      <c r="C9973" t="s">
        <v>9777</v>
      </c>
    </row>
    <row r="9974" spans="1:3" x14ac:dyDescent="0.25">
      <c r="A9974" t="str">
        <f>"0611837726100"</f>
        <v>0611837726100</v>
      </c>
      <c r="B9974" t="str">
        <f>"LB6352"</f>
        <v>LB6352</v>
      </c>
      <c r="C9974" t="s">
        <v>9778</v>
      </c>
    </row>
    <row r="9975" spans="1:3" x14ac:dyDescent="0.25">
      <c r="A9975" t="str">
        <f>"0611837727100"</f>
        <v>0611837727100</v>
      </c>
      <c r="B9975" t="str">
        <f>"LB6355"</f>
        <v>LB6355</v>
      </c>
      <c r="C9975" t="s">
        <v>9779</v>
      </c>
    </row>
    <row r="9976" spans="1:3" x14ac:dyDescent="0.25">
      <c r="A9976" t="str">
        <f>"0611837728100"</f>
        <v>0611837728100</v>
      </c>
      <c r="B9976" t="str">
        <f>"LB6356"</f>
        <v>LB6356</v>
      </c>
      <c r="C9976" t="s">
        <v>9780</v>
      </c>
    </row>
    <row r="9977" spans="1:3" x14ac:dyDescent="0.25">
      <c r="A9977" t="str">
        <f>"0611837729100"</f>
        <v>0611837729100</v>
      </c>
      <c r="B9977" t="str">
        <f>"LB6353"</f>
        <v>LB6353</v>
      </c>
      <c r="C9977" t="s">
        <v>9781</v>
      </c>
    </row>
    <row r="9978" spans="1:3" x14ac:dyDescent="0.25">
      <c r="A9978" t="str">
        <f>"0611837730100"</f>
        <v>0611837730100</v>
      </c>
      <c r="B9978" t="str">
        <f>"LB7260"</f>
        <v>LB7260</v>
      </c>
      <c r="C9978" t="s">
        <v>9782</v>
      </c>
    </row>
    <row r="9979" spans="1:3" x14ac:dyDescent="0.25">
      <c r="A9979" t="str">
        <f>"0611837731100"</f>
        <v>0611837731100</v>
      </c>
      <c r="B9979" t="str">
        <f>"LB7462"</f>
        <v>LB7462</v>
      </c>
      <c r="C9979" t="s">
        <v>9783</v>
      </c>
    </row>
    <row r="9980" spans="1:3" x14ac:dyDescent="0.25">
      <c r="A9980" t="str">
        <f>"0611837733100"</f>
        <v>0611837733100</v>
      </c>
      <c r="B9980" t="str">
        <f>"LK5520"</f>
        <v>LK5520</v>
      </c>
      <c r="C9980" t="s">
        <v>9784</v>
      </c>
    </row>
    <row r="9981" spans="1:3" x14ac:dyDescent="0.25">
      <c r="A9981" t="str">
        <f>"0611837734100"</f>
        <v>0611837734100</v>
      </c>
      <c r="B9981" t="str">
        <f>"LK5073"</f>
        <v>LK5073</v>
      </c>
      <c r="C9981" t="s">
        <v>9788</v>
      </c>
    </row>
    <row r="9982" spans="1:3" x14ac:dyDescent="0.25">
      <c r="A9982" t="str">
        <f>"0611837735100"</f>
        <v>0611837735100</v>
      </c>
      <c r="B9982" t="str">
        <f>"LK4428"</f>
        <v>LK4428</v>
      </c>
      <c r="C9982" t="s">
        <v>9789</v>
      </c>
    </row>
    <row r="9983" spans="1:3" x14ac:dyDescent="0.25">
      <c r="A9983" t="str">
        <f>"0611837736100"</f>
        <v>0611837736100</v>
      </c>
      <c r="B9983" t="str">
        <f>"LK6115"</f>
        <v>LK6115</v>
      </c>
      <c r="C9983" t="s">
        <v>9790</v>
      </c>
    </row>
    <row r="9984" spans="1:3" x14ac:dyDescent="0.25">
      <c r="A9984" t="str">
        <f>"0611863504050"</f>
        <v>0611863504050</v>
      </c>
      <c r="B9984" t="str">
        <f>"CE1493"</f>
        <v>CE1493</v>
      </c>
      <c r="C9984" t="s">
        <v>9791</v>
      </c>
    </row>
    <row r="9985" spans="1:3" x14ac:dyDescent="0.25">
      <c r="A9985" t="str">
        <f>"0611863505050"</f>
        <v>0611863505050</v>
      </c>
      <c r="B9985" t="str">
        <f>"CE1143"</f>
        <v>CE1143</v>
      </c>
      <c r="C9985" t="s">
        <v>9792</v>
      </c>
    </row>
    <row r="9986" spans="1:3" x14ac:dyDescent="0.25">
      <c r="A9986" t="str">
        <f>"0611863506050"</f>
        <v>0611863506050</v>
      </c>
      <c r="B9986" t="str">
        <f>"CE1123"</f>
        <v>CE1123</v>
      </c>
      <c r="C9986" t="s">
        <v>13925</v>
      </c>
    </row>
    <row r="9987" spans="1:3" x14ac:dyDescent="0.25">
      <c r="A9987" t="str">
        <f>"0611863507050"</f>
        <v>0611863507050</v>
      </c>
      <c r="B9987" t="str">
        <f>"CE1286"</f>
        <v>CE1286</v>
      </c>
      <c r="C9987" t="s">
        <v>9793</v>
      </c>
    </row>
    <row r="9988" spans="1:3" x14ac:dyDescent="0.25">
      <c r="A9988" t="str">
        <f>"0611863508050"</f>
        <v>0611863508050</v>
      </c>
      <c r="B9988" t="str">
        <f>"CE1144"</f>
        <v>CE1144</v>
      </c>
      <c r="C9988" t="s">
        <v>9794</v>
      </c>
    </row>
    <row r="9989" spans="1:3" x14ac:dyDescent="0.25">
      <c r="A9989" t="str">
        <f>"0611893649050"</f>
        <v>0611893649050</v>
      </c>
      <c r="B9989" t="str">
        <f>"CE1776"</f>
        <v>CE1776</v>
      </c>
      <c r="C9989" t="s">
        <v>9795</v>
      </c>
    </row>
    <row r="9990" spans="1:3" x14ac:dyDescent="0.25">
      <c r="A9990" t="str">
        <f>"0611893650050"</f>
        <v>0611893650050</v>
      </c>
      <c r="B9990" t="str">
        <f>"CE1777"</f>
        <v>CE1777</v>
      </c>
      <c r="C9990" t="s">
        <v>9796</v>
      </c>
    </row>
    <row r="9991" spans="1:3" x14ac:dyDescent="0.25">
      <c r="A9991" t="str">
        <f>"0611863509050"</f>
        <v>0611863509050</v>
      </c>
      <c r="B9991" t="str">
        <f>"CE1125"</f>
        <v>CE1125</v>
      </c>
      <c r="C9991" t="s">
        <v>9797</v>
      </c>
    </row>
    <row r="9992" spans="1:3" x14ac:dyDescent="0.25">
      <c r="A9992" t="str">
        <f>"0611863510050"</f>
        <v>0611863510050</v>
      </c>
      <c r="B9992" t="str">
        <f>"CE1146"</f>
        <v>CE1146</v>
      </c>
      <c r="C9992" t="s">
        <v>9798</v>
      </c>
    </row>
    <row r="9993" spans="1:3" x14ac:dyDescent="0.25">
      <c r="A9993" t="str">
        <f>"0611893651050"</f>
        <v>0611893651050</v>
      </c>
      <c r="B9993" t="str">
        <f>"CE1778"</f>
        <v>CE1778</v>
      </c>
      <c r="C9993" t="s">
        <v>9799</v>
      </c>
    </row>
    <row r="9994" spans="1:3" x14ac:dyDescent="0.25">
      <c r="A9994" t="str">
        <f>"0611863512050"</f>
        <v>0611863512050</v>
      </c>
      <c r="B9994" t="str">
        <f>"CE1127"</f>
        <v>CE1127</v>
      </c>
      <c r="C9994" t="s">
        <v>9800</v>
      </c>
    </row>
    <row r="9995" spans="1:3" x14ac:dyDescent="0.25">
      <c r="A9995" t="str">
        <f>"0611863513050"</f>
        <v>0611863513050</v>
      </c>
      <c r="B9995" t="str">
        <f>"CE1614"</f>
        <v>CE1614</v>
      </c>
      <c r="C9995" t="s">
        <v>9801</v>
      </c>
    </row>
    <row r="9996" spans="1:3" x14ac:dyDescent="0.25">
      <c r="A9996" t="str">
        <f>"0611863514050"</f>
        <v>0611863514050</v>
      </c>
      <c r="B9996" t="str">
        <f>"CE1198"</f>
        <v>CE1198</v>
      </c>
      <c r="C9996" t="s">
        <v>9802</v>
      </c>
    </row>
    <row r="9997" spans="1:3" x14ac:dyDescent="0.25">
      <c r="A9997" t="str">
        <f>"0611863515050"</f>
        <v>0611863515050</v>
      </c>
      <c r="B9997" t="str">
        <f>"CE1147"</f>
        <v>CE1147</v>
      </c>
      <c r="C9997" t="s">
        <v>9803</v>
      </c>
    </row>
    <row r="9998" spans="1:3" x14ac:dyDescent="0.25">
      <c r="A9998" t="str">
        <f>"0611863516050"</f>
        <v>0611863516050</v>
      </c>
      <c r="B9998" t="str">
        <f>"CE1128"</f>
        <v>CE1128</v>
      </c>
      <c r="C9998" t="s">
        <v>9804</v>
      </c>
    </row>
    <row r="9999" spans="1:3" x14ac:dyDescent="0.25">
      <c r="A9999" t="str">
        <f>"0611884374100"</f>
        <v>0611884374100</v>
      </c>
      <c r="B9999" t="str">
        <f>"LQ0980"</f>
        <v>LQ0980</v>
      </c>
      <c r="C9999" t="s">
        <v>9805</v>
      </c>
    </row>
    <row r="10000" spans="1:3" x14ac:dyDescent="0.25">
      <c r="A10000" t="str">
        <f>"0611884375100"</f>
        <v>0611884375100</v>
      </c>
      <c r="B10000" t="str">
        <f>"LQ3924"</f>
        <v>LQ3924</v>
      </c>
      <c r="C10000" t="s">
        <v>9806</v>
      </c>
    </row>
    <row r="10001" spans="1:3" x14ac:dyDescent="0.25">
      <c r="A10001" t="str">
        <f>"0611837741100"</f>
        <v>0611837741100</v>
      </c>
      <c r="B10001" t="str">
        <f>"LB6382"</f>
        <v>LB6382</v>
      </c>
      <c r="C10001" t="s">
        <v>9807</v>
      </c>
    </row>
    <row r="10002" spans="1:3" x14ac:dyDescent="0.25">
      <c r="A10002" t="str">
        <f>"0611837590100"</f>
        <v>0611837590100</v>
      </c>
      <c r="B10002" t="str">
        <f>"LK1713"</f>
        <v>LK1713</v>
      </c>
      <c r="C10002" t="s">
        <v>9613</v>
      </c>
    </row>
    <row r="10003" spans="1:3" x14ac:dyDescent="0.25">
      <c r="A10003" t="str">
        <f>"0611837591100"</f>
        <v>0611837591100</v>
      </c>
      <c r="B10003" t="str">
        <f>"LB6261"</f>
        <v>LB6261</v>
      </c>
      <c r="C10003" t="s">
        <v>9614</v>
      </c>
    </row>
    <row r="10004" spans="1:3" x14ac:dyDescent="0.25">
      <c r="A10004" t="str">
        <f>"0611837592100"</f>
        <v>0611837592100</v>
      </c>
      <c r="B10004" t="str">
        <f>"LK0314"</f>
        <v>LK0314</v>
      </c>
      <c r="C10004" t="s">
        <v>9615</v>
      </c>
    </row>
    <row r="10005" spans="1:3" x14ac:dyDescent="0.25">
      <c r="A10005" t="str">
        <f>"0611837587100"</f>
        <v>0611837587100</v>
      </c>
      <c r="B10005" t="str">
        <f>"LK0315"</f>
        <v>LK0315</v>
      </c>
      <c r="C10005" t="s">
        <v>9610</v>
      </c>
    </row>
    <row r="10006" spans="1:3" x14ac:dyDescent="0.25">
      <c r="A10006" t="str">
        <f>"0611837593100"</f>
        <v>0611837593100</v>
      </c>
      <c r="B10006" t="str">
        <f>"LB6262"</f>
        <v>LB6262</v>
      </c>
      <c r="C10006" t="s">
        <v>9616</v>
      </c>
    </row>
    <row r="10007" spans="1:3" x14ac:dyDescent="0.25">
      <c r="A10007" t="str">
        <f>"0611837588100"</f>
        <v>0611837588100</v>
      </c>
      <c r="B10007" t="str">
        <f>"LK6655"</f>
        <v>LK6655</v>
      </c>
      <c r="C10007" t="s">
        <v>9611</v>
      </c>
    </row>
    <row r="10008" spans="1:3" x14ac:dyDescent="0.25">
      <c r="A10008" t="str">
        <f>"0611837742100"</f>
        <v>0611837742100</v>
      </c>
      <c r="B10008" t="str">
        <f>"LB6384"</f>
        <v>LB6384</v>
      </c>
      <c r="C10008" t="s">
        <v>9808</v>
      </c>
    </row>
    <row r="10009" spans="1:3" x14ac:dyDescent="0.25">
      <c r="A10009" t="str">
        <f>"0611837743100"</f>
        <v>0611837743100</v>
      </c>
      <c r="B10009" t="str">
        <f>"LB6385"</f>
        <v>LB6385</v>
      </c>
      <c r="C10009" t="s">
        <v>9809</v>
      </c>
    </row>
    <row r="10010" spans="1:3" x14ac:dyDescent="0.25">
      <c r="A10010" t="str">
        <f>"0611837745100"</f>
        <v>0611837745100</v>
      </c>
      <c r="B10010" t="str">
        <f>"LK1715"</f>
        <v>LK1715</v>
      </c>
      <c r="C10010" t="s">
        <v>9811</v>
      </c>
    </row>
    <row r="10011" spans="1:3" x14ac:dyDescent="0.25">
      <c r="A10011" t="str">
        <f>"0611837744100"</f>
        <v>0611837744100</v>
      </c>
      <c r="B10011" t="str">
        <f>"LB6386"</f>
        <v>LB6386</v>
      </c>
      <c r="C10011" t="s">
        <v>9810</v>
      </c>
    </row>
    <row r="10012" spans="1:3" x14ac:dyDescent="0.25">
      <c r="A10012" t="str">
        <f>"0611893646050"</f>
        <v>0611893646050</v>
      </c>
      <c r="B10012" t="str">
        <f>"CR5367"</f>
        <v>CR5367</v>
      </c>
      <c r="C10012" t="s">
        <v>9785</v>
      </c>
    </row>
    <row r="10013" spans="1:3" x14ac:dyDescent="0.25">
      <c r="A10013" t="str">
        <f>"0611893647050"</f>
        <v>0611893647050</v>
      </c>
      <c r="B10013" t="str">
        <f>"CR5359"</f>
        <v>CR5359</v>
      </c>
      <c r="C10013" t="s">
        <v>9786</v>
      </c>
    </row>
    <row r="10014" spans="1:3" x14ac:dyDescent="0.25">
      <c r="A10014" t="str">
        <f>"0611884376100"</f>
        <v>0611884376100</v>
      </c>
      <c r="B10014" t="str">
        <f>"LQ3925"</f>
        <v>LQ3925</v>
      </c>
      <c r="C10014" t="s">
        <v>9812</v>
      </c>
    </row>
    <row r="10015" spans="1:3" x14ac:dyDescent="0.25">
      <c r="A10015" t="str">
        <f>"0611893648050"</f>
        <v>0611893648050</v>
      </c>
      <c r="B10015" t="str">
        <f>"CR5372"</f>
        <v>CR5372</v>
      </c>
      <c r="C10015" t="s">
        <v>9787</v>
      </c>
    </row>
    <row r="10016" spans="1:3" x14ac:dyDescent="0.25">
      <c r="A10016" t="str">
        <f>"0611863517050"</f>
        <v>0611863517050</v>
      </c>
      <c r="B10016" t="str">
        <f>"CR2464"</f>
        <v>CR2464</v>
      </c>
      <c r="C10016" t="s">
        <v>13926</v>
      </c>
    </row>
    <row r="10017" spans="1:3" x14ac:dyDescent="0.25">
      <c r="A10017" t="str">
        <f>"0611863518050"</f>
        <v>0611863518050</v>
      </c>
      <c r="B10017" t="str">
        <f>"CR2465"</f>
        <v>CR2465</v>
      </c>
      <c r="C10017" t="s">
        <v>13927</v>
      </c>
    </row>
    <row r="10018" spans="1:3" x14ac:dyDescent="0.25">
      <c r="A10018" t="str">
        <f>"0611863519050"</f>
        <v>0611863519050</v>
      </c>
      <c r="B10018" t="str">
        <f>"CR2466"</f>
        <v>CR2466</v>
      </c>
      <c r="C10018" t="s">
        <v>13928</v>
      </c>
    </row>
    <row r="10019" spans="1:3" x14ac:dyDescent="0.25">
      <c r="A10019" t="str">
        <f>"0611863520050"</f>
        <v>0611863520050</v>
      </c>
      <c r="B10019" t="str">
        <f>"CR2467"</f>
        <v>CR2467</v>
      </c>
      <c r="C10019" t="s">
        <v>13929</v>
      </c>
    </row>
    <row r="10020" spans="1:3" x14ac:dyDescent="0.25">
      <c r="A10020" t="str">
        <f>"0611863521050"</f>
        <v>0611863521050</v>
      </c>
      <c r="B10020" t="str">
        <f>"CR2469"</f>
        <v>CR2469</v>
      </c>
      <c r="C10020" t="s">
        <v>13930</v>
      </c>
    </row>
    <row r="10021" spans="1:3" x14ac:dyDescent="0.25">
      <c r="A10021" t="str">
        <f>"0611837747100"</f>
        <v>0611837747100</v>
      </c>
      <c r="B10021" t="str">
        <f>"LB6419"</f>
        <v>LB6419</v>
      </c>
      <c r="C10021" t="s">
        <v>9813</v>
      </c>
    </row>
    <row r="10022" spans="1:3" x14ac:dyDescent="0.25">
      <c r="A10022" t="str">
        <f>"0611837748100"</f>
        <v>0611837748100</v>
      </c>
      <c r="B10022" t="str">
        <f>"LB6307"</f>
        <v>LB6307</v>
      </c>
      <c r="C10022" t="s">
        <v>9814</v>
      </c>
    </row>
    <row r="10023" spans="1:3" x14ac:dyDescent="0.25">
      <c r="A10023" t="str">
        <f>"0611837749100"</f>
        <v>0611837749100</v>
      </c>
      <c r="B10023" t="str">
        <f>"LK1716"</f>
        <v>LK1716</v>
      </c>
      <c r="C10023" t="s">
        <v>9815</v>
      </c>
    </row>
    <row r="10024" spans="1:3" x14ac:dyDescent="0.25">
      <c r="A10024" t="str">
        <f>"0611837750100"</f>
        <v>0611837750100</v>
      </c>
      <c r="B10024" t="str">
        <f>"LK4340"</f>
        <v>LK4340</v>
      </c>
      <c r="C10024" t="s">
        <v>9816</v>
      </c>
    </row>
    <row r="10025" spans="1:3" x14ac:dyDescent="0.25">
      <c r="A10025" t="str">
        <f>"0611837752100"</f>
        <v>0611837752100</v>
      </c>
      <c r="B10025" t="str">
        <f>"LB6389"</f>
        <v>LB6389</v>
      </c>
      <c r="C10025" t="s">
        <v>9817</v>
      </c>
    </row>
    <row r="10026" spans="1:3" x14ac:dyDescent="0.25">
      <c r="A10026" t="str">
        <f>"0611837753100"</f>
        <v>0611837753100</v>
      </c>
      <c r="B10026" t="str">
        <f>"LB6391"</f>
        <v>LB6391</v>
      </c>
      <c r="C10026" t="s">
        <v>9818</v>
      </c>
    </row>
    <row r="10027" spans="1:3" x14ac:dyDescent="0.25">
      <c r="A10027" t="str">
        <f>"0611837754100"</f>
        <v>0611837754100</v>
      </c>
      <c r="B10027" t="str">
        <f>"LB7561"</f>
        <v>LB7561</v>
      </c>
      <c r="C10027" t="s">
        <v>9819</v>
      </c>
    </row>
    <row r="10028" spans="1:3" x14ac:dyDescent="0.25">
      <c r="A10028" t="str">
        <f>"0611837755100"</f>
        <v>0611837755100</v>
      </c>
      <c r="B10028" t="str">
        <f>"LK0320"</f>
        <v>LK0320</v>
      </c>
      <c r="C10028" t="s">
        <v>9820</v>
      </c>
    </row>
    <row r="10029" spans="1:3" x14ac:dyDescent="0.25">
      <c r="A10029" t="str">
        <f>"0611837756100"</f>
        <v>0611837756100</v>
      </c>
      <c r="B10029" t="str">
        <f>"LB6392"</f>
        <v>LB6392</v>
      </c>
      <c r="C10029" t="s">
        <v>9821</v>
      </c>
    </row>
    <row r="10030" spans="1:3" x14ac:dyDescent="0.25">
      <c r="A10030" t="str">
        <f>"0611837757100"</f>
        <v>0611837757100</v>
      </c>
      <c r="B10030" t="str">
        <f>"LB6393"</f>
        <v>LB6393</v>
      </c>
      <c r="C10030" t="s">
        <v>9822</v>
      </c>
    </row>
    <row r="10031" spans="1:3" x14ac:dyDescent="0.25">
      <c r="A10031" t="str">
        <f>"0611837758100"</f>
        <v>0611837758100</v>
      </c>
      <c r="B10031" t="str">
        <f>"LK2342"</f>
        <v>LK2342</v>
      </c>
      <c r="C10031" t="s">
        <v>9823</v>
      </c>
    </row>
    <row r="10032" spans="1:3" x14ac:dyDescent="0.25">
      <c r="A10032" t="str">
        <f>"0611837759100"</f>
        <v>0611837759100</v>
      </c>
      <c r="B10032" t="str">
        <f>"LB6421"</f>
        <v>LB6421</v>
      </c>
      <c r="C10032" t="s">
        <v>9824</v>
      </c>
    </row>
    <row r="10033" spans="1:3" x14ac:dyDescent="0.25">
      <c r="A10033" t="str">
        <f>"0611837760100"</f>
        <v>0611837760100</v>
      </c>
      <c r="B10033" t="str">
        <f>"LK3475"</f>
        <v>LK3475</v>
      </c>
      <c r="C10033" t="s">
        <v>9825</v>
      </c>
    </row>
    <row r="10034" spans="1:3" x14ac:dyDescent="0.25">
      <c r="A10034" t="str">
        <f>"0611837761100"</f>
        <v>0611837761100</v>
      </c>
      <c r="B10034" t="str">
        <f>"LK1717"</f>
        <v>LK1717</v>
      </c>
      <c r="C10034" t="s">
        <v>9826</v>
      </c>
    </row>
    <row r="10035" spans="1:3" x14ac:dyDescent="0.25">
      <c r="A10035" t="str">
        <f>"0611837762100"</f>
        <v>0611837762100</v>
      </c>
      <c r="B10035" t="str">
        <f>"LB6394"</f>
        <v>LB6394</v>
      </c>
      <c r="C10035" t="s">
        <v>9827</v>
      </c>
    </row>
    <row r="10036" spans="1:3" x14ac:dyDescent="0.25">
      <c r="A10036" t="str">
        <f>"0611837763100"</f>
        <v>0611837763100</v>
      </c>
      <c r="B10036" t="str">
        <f>"LK3476"</f>
        <v>LK3476</v>
      </c>
      <c r="C10036" t="s">
        <v>9828</v>
      </c>
    </row>
    <row r="10037" spans="1:3" x14ac:dyDescent="0.25">
      <c r="A10037" t="str">
        <f>"0611837764100"</f>
        <v>0611837764100</v>
      </c>
      <c r="B10037" t="str">
        <f>"LK1718"</f>
        <v>LK1718</v>
      </c>
      <c r="C10037" t="s">
        <v>9829</v>
      </c>
    </row>
    <row r="10038" spans="1:3" x14ac:dyDescent="0.25">
      <c r="A10038" t="str">
        <f>"0611837765100"</f>
        <v>0611837765100</v>
      </c>
      <c r="B10038" t="str">
        <f>"LK0321"</f>
        <v>LK0321</v>
      </c>
      <c r="C10038" t="s">
        <v>9830</v>
      </c>
    </row>
    <row r="10039" spans="1:3" x14ac:dyDescent="0.25">
      <c r="A10039" t="str">
        <f>"0611837766100"</f>
        <v>0611837766100</v>
      </c>
      <c r="B10039" t="str">
        <f>"LB6395"</f>
        <v>LB6395</v>
      </c>
      <c r="C10039" t="s">
        <v>9831</v>
      </c>
    </row>
    <row r="10040" spans="1:3" x14ac:dyDescent="0.25">
      <c r="A10040" t="str">
        <f>"0611837767100"</f>
        <v>0611837767100</v>
      </c>
      <c r="B10040" t="str">
        <f>"LK0323"</f>
        <v>LK0323</v>
      </c>
      <c r="C10040" t="s">
        <v>9832</v>
      </c>
    </row>
    <row r="10041" spans="1:3" x14ac:dyDescent="0.25">
      <c r="A10041" t="str">
        <f>"0611863522050"</f>
        <v>0611863522050</v>
      </c>
      <c r="B10041" t="str">
        <f>"CR4855"</f>
        <v>CR4855</v>
      </c>
      <c r="C10041" t="s">
        <v>9833</v>
      </c>
    </row>
    <row r="10042" spans="1:3" x14ac:dyDescent="0.25">
      <c r="A10042" t="str">
        <f>"0611863523050"</f>
        <v>0611863523050</v>
      </c>
      <c r="B10042" t="str">
        <f>"CR4850"</f>
        <v>CR4850</v>
      </c>
      <c r="C10042" t="s">
        <v>9834</v>
      </c>
    </row>
    <row r="10043" spans="1:3" x14ac:dyDescent="0.25">
      <c r="A10043" t="str">
        <f>"0611863524050"</f>
        <v>0611863524050</v>
      </c>
      <c r="B10043" t="str">
        <f>"CR4851"</f>
        <v>CR4851</v>
      </c>
      <c r="C10043" t="s">
        <v>9835</v>
      </c>
    </row>
    <row r="10044" spans="1:3" x14ac:dyDescent="0.25">
      <c r="A10044" t="str">
        <f>"0611863525050"</f>
        <v>0611863525050</v>
      </c>
      <c r="B10044" t="str">
        <f>"CR4852"</f>
        <v>CR4852</v>
      </c>
      <c r="C10044" t="s">
        <v>9836</v>
      </c>
    </row>
    <row r="10045" spans="1:3" x14ac:dyDescent="0.25">
      <c r="A10045" t="str">
        <f>"0611863526050"</f>
        <v>0611863526050</v>
      </c>
      <c r="B10045" t="str">
        <f>"CR5000"</f>
        <v>CR5000</v>
      </c>
      <c r="C10045" t="s">
        <v>9837</v>
      </c>
    </row>
    <row r="10046" spans="1:3" x14ac:dyDescent="0.25">
      <c r="A10046" t="str">
        <f>"0611863527050"</f>
        <v>0611863527050</v>
      </c>
      <c r="B10046" t="str">
        <f>"CR4055"</f>
        <v>CR4055</v>
      </c>
      <c r="C10046" t="s">
        <v>9838</v>
      </c>
    </row>
    <row r="10047" spans="1:3" x14ac:dyDescent="0.25">
      <c r="A10047" t="str">
        <f>"0611863528050"</f>
        <v>0611863528050</v>
      </c>
      <c r="B10047" t="str">
        <f>"CR5001"</f>
        <v>CR5001</v>
      </c>
      <c r="C10047" t="s">
        <v>9839</v>
      </c>
    </row>
    <row r="10048" spans="1:3" x14ac:dyDescent="0.25">
      <c r="A10048" t="str">
        <f>"0611863529050"</f>
        <v>0611863529050</v>
      </c>
      <c r="B10048" t="str">
        <f>"CR4854"</f>
        <v>CR4854</v>
      </c>
      <c r="C10048" t="s">
        <v>9840</v>
      </c>
    </row>
    <row r="10049" spans="1:3" x14ac:dyDescent="0.25">
      <c r="A10049" t="str">
        <f>"0611863530050"</f>
        <v>0611863530050</v>
      </c>
      <c r="B10049" t="str">
        <f>"CR4853"</f>
        <v>CR4853</v>
      </c>
      <c r="C10049" t="s">
        <v>9841</v>
      </c>
    </row>
    <row r="10050" spans="1:3" x14ac:dyDescent="0.25">
      <c r="A10050" t="str">
        <f>"0611863531050"</f>
        <v>0611863531050</v>
      </c>
      <c r="B10050" t="str">
        <f>"CR5002"</f>
        <v>CR5002</v>
      </c>
      <c r="C10050" t="s">
        <v>9842</v>
      </c>
    </row>
    <row r="10051" spans="1:3" x14ac:dyDescent="0.25">
      <c r="A10051" t="str">
        <f>"0611863532050"</f>
        <v>0611863532050</v>
      </c>
      <c r="B10051" t="str">
        <f>"CR5003"</f>
        <v>CR5003</v>
      </c>
      <c r="C10051" t="s">
        <v>9843</v>
      </c>
    </row>
    <row r="10052" spans="1:3" x14ac:dyDescent="0.25">
      <c r="A10052" t="str">
        <f>"0611837768100"</f>
        <v>0611837768100</v>
      </c>
      <c r="B10052" t="str">
        <f>"LK5074"</f>
        <v>LK5074</v>
      </c>
      <c r="C10052" t="s">
        <v>9844</v>
      </c>
    </row>
    <row r="10053" spans="1:3" x14ac:dyDescent="0.25">
      <c r="A10053" t="str">
        <f>"0611837769100"</f>
        <v>0611837769100</v>
      </c>
      <c r="B10053" t="str">
        <f>"LK6116"</f>
        <v>LK6116</v>
      </c>
      <c r="C10053" t="s">
        <v>9845</v>
      </c>
    </row>
    <row r="10054" spans="1:3" x14ac:dyDescent="0.25">
      <c r="A10054" t="str">
        <f>"0611837770100"</f>
        <v>0611837770100</v>
      </c>
      <c r="B10054" t="str">
        <f>"LK5075"</f>
        <v>LK5075</v>
      </c>
      <c r="C10054" t="s">
        <v>9846</v>
      </c>
    </row>
    <row r="10055" spans="1:3" x14ac:dyDescent="0.25">
      <c r="A10055" t="str">
        <f>"0611837771100"</f>
        <v>0611837771100</v>
      </c>
      <c r="B10055" t="str">
        <f>"LK5076"</f>
        <v>LK5076</v>
      </c>
      <c r="C10055" t="s">
        <v>9847</v>
      </c>
    </row>
    <row r="10056" spans="1:3" x14ac:dyDescent="0.25">
      <c r="A10056" t="str">
        <f>"0611837772100"</f>
        <v>0611837772100</v>
      </c>
      <c r="B10056" t="str">
        <f>"LK5077"</f>
        <v>LK5077</v>
      </c>
      <c r="C10056" t="s">
        <v>9848</v>
      </c>
    </row>
    <row r="10057" spans="1:3" x14ac:dyDescent="0.25">
      <c r="A10057" t="str">
        <f>"0611837773100"</f>
        <v>0611837773100</v>
      </c>
      <c r="B10057" t="str">
        <f>"LK5078"</f>
        <v>LK5078</v>
      </c>
      <c r="C10057" t="s">
        <v>9849</v>
      </c>
    </row>
    <row r="10058" spans="1:3" x14ac:dyDescent="0.25">
      <c r="A10058" t="str">
        <f>"0611837774100"</f>
        <v>0611837774100</v>
      </c>
      <c r="B10058" t="str">
        <f>"LK5079"</f>
        <v>LK5079</v>
      </c>
      <c r="C10058" t="s">
        <v>9850</v>
      </c>
    </row>
    <row r="10059" spans="1:3" x14ac:dyDescent="0.25">
      <c r="A10059" t="str">
        <f>"0611838216100"</f>
        <v>0611838216100</v>
      </c>
      <c r="B10059" t="str">
        <f>"LK6970"</f>
        <v>LK6970</v>
      </c>
      <c r="C10059" t="s">
        <v>9851</v>
      </c>
    </row>
    <row r="10060" spans="1:3" x14ac:dyDescent="0.25">
      <c r="A10060" t="str">
        <f>"0611838217100"</f>
        <v>0611838217100</v>
      </c>
      <c r="B10060" t="str">
        <f>"LK6971"</f>
        <v>LK6971</v>
      </c>
      <c r="C10060" t="s">
        <v>9852</v>
      </c>
    </row>
    <row r="10061" spans="1:3" x14ac:dyDescent="0.25">
      <c r="A10061" t="str">
        <f>"0611857075100"</f>
        <v>0611857075100</v>
      </c>
      <c r="B10061" t="str">
        <f>"LK7101"</f>
        <v>LK7101</v>
      </c>
      <c r="C10061" t="s">
        <v>9853</v>
      </c>
    </row>
    <row r="10062" spans="1:3" x14ac:dyDescent="0.25">
      <c r="A10062" t="str">
        <f>"0611906898100"</f>
        <v>0611906898100</v>
      </c>
      <c r="B10062" t="str">
        <f>"LK7220"</f>
        <v>LK7220</v>
      </c>
      <c r="C10062" t="s">
        <v>9856</v>
      </c>
    </row>
    <row r="10063" spans="1:3" x14ac:dyDescent="0.25">
      <c r="A10063" t="str">
        <f>"0611838218100"</f>
        <v>0611838218100</v>
      </c>
      <c r="B10063" t="str">
        <f>"LK6972"</f>
        <v>LK6972</v>
      </c>
      <c r="C10063" t="s">
        <v>9854</v>
      </c>
    </row>
    <row r="10064" spans="1:3" x14ac:dyDescent="0.25">
      <c r="A10064" t="str">
        <f>"0611838219100"</f>
        <v>0611838219100</v>
      </c>
      <c r="B10064" t="str">
        <f>"LK6973"</f>
        <v>LK6973</v>
      </c>
      <c r="C10064" t="s">
        <v>9855</v>
      </c>
    </row>
    <row r="10065" spans="1:3" x14ac:dyDescent="0.25">
      <c r="A10065" t="str">
        <f>"0611838220100"</f>
        <v>0611838220100</v>
      </c>
      <c r="B10065" t="str">
        <f>"LK6974"</f>
        <v>LK6974</v>
      </c>
      <c r="C10065" t="s">
        <v>9857</v>
      </c>
    </row>
    <row r="10066" spans="1:3" x14ac:dyDescent="0.25">
      <c r="A10066" t="str">
        <f>"0611906899100"</f>
        <v>0611906899100</v>
      </c>
      <c r="B10066" t="str">
        <f>"LK7221"</f>
        <v>LK7221</v>
      </c>
      <c r="C10066" t="s">
        <v>9858</v>
      </c>
    </row>
    <row r="10067" spans="1:3" x14ac:dyDescent="0.25">
      <c r="A10067" t="str">
        <f>"0611906900100"</f>
        <v>0611906900100</v>
      </c>
      <c r="B10067" t="str">
        <f>"LK7222"</f>
        <v>LK7222</v>
      </c>
      <c r="C10067" t="s">
        <v>9859</v>
      </c>
    </row>
    <row r="10068" spans="1:3" x14ac:dyDescent="0.25">
      <c r="A10068" t="str">
        <f>"0611838221100"</f>
        <v>0611838221100</v>
      </c>
      <c r="B10068" t="str">
        <f>"LK6975"</f>
        <v>LK6975</v>
      </c>
      <c r="C10068" t="s">
        <v>9860</v>
      </c>
    </row>
    <row r="10069" spans="1:3" x14ac:dyDescent="0.25">
      <c r="A10069" t="str">
        <f>"0611884377100"</f>
        <v>0611884377100</v>
      </c>
      <c r="B10069" t="str">
        <f>"LK7140"</f>
        <v>LK7140</v>
      </c>
      <c r="C10069" t="s">
        <v>9861</v>
      </c>
    </row>
    <row r="10070" spans="1:3" x14ac:dyDescent="0.25">
      <c r="A10070" t="str">
        <f>"0611838222100"</f>
        <v>0611838222100</v>
      </c>
      <c r="B10070" t="str">
        <f>"LK6976"</f>
        <v>LK6976</v>
      </c>
      <c r="C10070" t="s">
        <v>9862</v>
      </c>
    </row>
    <row r="10071" spans="1:3" x14ac:dyDescent="0.25">
      <c r="A10071" t="str">
        <f>"0611884378100"</f>
        <v>0611884378100</v>
      </c>
      <c r="B10071" t="str">
        <f>"LK7141"</f>
        <v>LK7141</v>
      </c>
      <c r="C10071" t="s">
        <v>9863</v>
      </c>
    </row>
    <row r="10072" spans="1:3" x14ac:dyDescent="0.25">
      <c r="A10072" t="str">
        <f>"0611838223100"</f>
        <v>0611838223100</v>
      </c>
      <c r="B10072" t="str">
        <f>"LK2726"</f>
        <v>LK2726</v>
      </c>
      <c r="C10072" t="s">
        <v>9864</v>
      </c>
    </row>
    <row r="10073" spans="1:3" x14ac:dyDescent="0.25">
      <c r="A10073" t="str">
        <f>"0611838224050"</f>
        <v>0611838224050</v>
      </c>
      <c r="B10073" t="str">
        <f>"NM0015"</f>
        <v>NM0015</v>
      </c>
      <c r="C10073" t="s">
        <v>9865</v>
      </c>
    </row>
    <row r="10074" spans="1:3" x14ac:dyDescent="0.25">
      <c r="A10074" t="str">
        <f>"0611838225100"</f>
        <v>0611838225100</v>
      </c>
      <c r="B10074" t="str">
        <f>"LK1719"</f>
        <v>LK1719</v>
      </c>
      <c r="C10074" t="s">
        <v>9866</v>
      </c>
    </row>
    <row r="10075" spans="1:3" x14ac:dyDescent="0.25">
      <c r="A10075" t="str">
        <f>"0611838226025"</f>
        <v>0611838226025</v>
      </c>
      <c r="B10075" t="str">
        <f>"MC2306"</f>
        <v>MC2306</v>
      </c>
      <c r="C10075" t="s">
        <v>9867</v>
      </c>
    </row>
    <row r="10076" spans="1:3" x14ac:dyDescent="0.25">
      <c r="A10076" t="str">
        <f>"0611838227050"</f>
        <v>0611838227050</v>
      </c>
      <c r="B10076" t="str">
        <f>"NM0016"</f>
        <v>NM0016</v>
      </c>
      <c r="C10076" t="s">
        <v>9868</v>
      </c>
    </row>
    <row r="10077" spans="1:3" x14ac:dyDescent="0.25">
      <c r="A10077" t="str">
        <f>"0611838228100"</f>
        <v>0611838228100</v>
      </c>
      <c r="B10077" t="str">
        <f>"LK4349"</f>
        <v>LK4349</v>
      </c>
      <c r="C10077" t="s">
        <v>9869</v>
      </c>
    </row>
    <row r="10078" spans="1:3" x14ac:dyDescent="0.25">
      <c r="A10078" t="str">
        <f>"0611838229050"</f>
        <v>0611838229050</v>
      </c>
      <c r="B10078" t="str">
        <f>"NM0017"</f>
        <v>NM0017</v>
      </c>
      <c r="C10078" t="s">
        <v>9870</v>
      </c>
    </row>
    <row r="10079" spans="1:3" x14ac:dyDescent="0.25">
      <c r="A10079" t="str">
        <f>"0611838230100"</f>
        <v>0611838230100</v>
      </c>
      <c r="B10079" t="str">
        <f>"LK2725"</f>
        <v>LK2725</v>
      </c>
      <c r="C10079" t="s">
        <v>9871</v>
      </c>
    </row>
    <row r="10080" spans="1:3" x14ac:dyDescent="0.25">
      <c r="A10080" t="str">
        <f>"0611838231050"</f>
        <v>0611838231050</v>
      </c>
      <c r="B10080" t="str">
        <f>"NM0019"</f>
        <v>NM0019</v>
      </c>
      <c r="C10080" t="s">
        <v>9872</v>
      </c>
    </row>
    <row r="10081" spans="1:3" x14ac:dyDescent="0.25">
      <c r="A10081" t="str">
        <f>"0611838232100"</f>
        <v>0611838232100</v>
      </c>
      <c r="B10081" t="str">
        <f>"LK1985"</f>
        <v>LK1985</v>
      </c>
      <c r="C10081" t="s">
        <v>9873</v>
      </c>
    </row>
    <row r="10082" spans="1:3" x14ac:dyDescent="0.25">
      <c r="A10082" t="str">
        <f>"0611838233050"</f>
        <v>0611838233050</v>
      </c>
      <c r="B10082" t="str">
        <f>"NM0020"</f>
        <v>NM0020</v>
      </c>
      <c r="C10082" t="s">
        <v>9874</v>
      </c>
    </row>
    <row r="10083" spans="1:3" x14ac:dyDescent="0.25">
      <c r="A10083" t="str">
        <f>"0611838234100"</f>
        <v>0611838234100</v>
      </c>
      <c r="B10083" t="str">
        <f>"LK4520"</f>
        <v>LK4520</v>
      </c>
      <c r="C10083" t="s">
        <v>9875</v>
      </c>
    </row>
    <row r="10084" spans="1:3" x14ac:dyDescent="0.25">
      <c r="A10084" t="str">
        <f>"0611838235100"</f>
        <v>0611838235100</v>
      </c>
      <c r="B10084" t="str">
        <f>"LK4521"</f>
        <v>LK4521</v>
      </c>
      <c r="C10084" t="s">
        <v>9876</v>
      </c>
    </row>
    <row r="10085" spans="1:3" x14ac:dyDescent="0.25">
      <c r="A10085" t="str">
        <f>"0611838236050"</f>
        <v>0611838236050</v>
      </c>
      <c r="B10085" t="str">
        <f>"NM0022"</f>
        <v>NM0022</v>
      </c>
      <c r="C10085" t="s">
        <v>9877</v>
      </c>
    </row>
    <row r="10086" spans="1:3" x14ac:dyDescent="0.25">
      <c r="A10086" t="str">
        <f>"0611838237100"</f>
        <v>0611838237100</v>
      </c>
      <c r="B10086" t="str">
        <f>"LK6559"</f>
        <v>LK6559</v>
      </c>
      <c r="C10086" t="s">
        <v>9878</v>
      </c>
    </row>
    <row r="10087" spans="1:3" x14ac:dyDescent="0.25">
      <c r="A10087" t="str">
        <f>"0611906901100"</f>
        <v>0611906901100</v>
      </c>
      <c r="B10087" t="str">
        <f>"LK7223"</f>
        <v>LK7223</v>
      </c>
      <c r="C10087" t="s">
        <v>9879</v>
      </c>
    </row>
    <row r="10088" spans="1:3" x14ac:dyDescent="0.25">
      <c r="A10088" t="str">
        <f>"0611838239100"</f>
        <v>0611838239100</v>
      </c>
      <c r="B10088" t="str">
        <f>"LK4437"</f>
        <v>LK4437</v>
      </c>
      <c r="C10088" t="s">
        <v>9880</v>
      </c>
    </row>
    <row r="10089" spans="1:3" x14ac:dyDescent="0.25">
      <c r="A10089" t="str">
        <f>"0611838240050"</f>
        <v>0611838240050</v>
      </c>
      <c r="B10089" t="str">
        <f>"NM0024"</f>
        <v>NM0024</v>
      </c>
      <c r="C10089" t="s">
        <v>9881</v>
      </c>
    </row>
    <row r="10090" spans="1:3" x14ac:dyDescent="0.25">
      <c r="A10090" t="str">
        <f>"0611838241100"</f>
        <v>0611838241100</v>
      </c>
      <c r="B10090" t="str">
        <f>"LK4522"</f>
        <v>LK4522</v>
      </c>
      <c r="C10090" t="s">
        <v>9882</v>
      </c>
    </row>
    <row r="10091" spans="1:3" x14ac:dyDescent="0.25">
      <c r="A10091" t="str">
        <f>"0611838242100"</f>
        <v>0611838242100</v>
      </c>
      <c r="B10091" t="str">
        <f>"LK1080"</f>
        <v>LK1080</v>
      </c>
      <c r="C10091" t="s">
        <v>9883</v>
      </c>
    </row>
    <row r="10092" spans="1:3" x14ac:dyDescent="0.25">
      <c r="A10092" t="str">
        <f>"0611838243025"</f>
        <v>0611838243025</v>
      </c>
      <c r="B10092" t="str">
        <f>"MC1617"</f>
        <v>MC1617</v>
      </c>
      <c r="C10092" t="s">
        <v>9884</v>
      </c>
    </row>
    <row r="10093" spans="1:3" x14ac:dyDescent="0.25">
      <c r="A10093" t="str">
        <f>"0611838244050"</f>
        <v>0611838244050</v>
      </c>
      <c r="B10093" t="str">
        <f>"NM0027"</f>
        <v>NM0027</v>
      </c>
      <c r="C10093" t="s">
        <v>9885</v>
      </c>
    </row>
    <row r="10094" spans="1:3" x14ac:dyDescent="0.25">
      <c r="A10094" t="str">
        <f>"0611838245100"</f>
        <v>0611838245100</v>
      </c>
      <c r="B10094" t="str">
        <f>"LK5669"</f>
        <v>LK5669</v>
      </c>
      <c r="C10094" t="s">
        <v>9886</v>
      </c>
    </row>
    <row r="10095" spans="1:3" x14ac:dyDescent="0.25">
      <c r="A10095" t="str">
        <f>"0611838246050"</f>
        <v>0611838246050</v>
      </c>
      <c r="B10095" t="str">
        <f>"NM0072"</f>
        <v>NM0072</v>
      </c>
      <c r="C10095" t="s">
        <v>9887</v>
      </c>
    </row>
    <row r="10096" spans="1:3" x14ac:dyDescent="0.25">
      <c r="A10096" t="str">
        <f>"0611838247100"</f>
        <v>0611838247100</v>
      </c>
      <c r="B10096" t="str">
        <f>"LK4350"</f>
        <v>LK4350</v>
      </c>
      <c r="C10096" t="s">
        <v>9888</v>
      </c>
    </row>
    <row r="10097" spans="1:3" x14ac:dyDescent="0.25">
      <c r="A10097" t="str">
        <f>"0611838248050"</f>
        <v>0611838248050</v>
      </c>
      <c r="B10097" t="str">
        <f>"NM0030"</f>
        <v>NM0030</v>
      </c>
      <c r="C10097" t="s">
        <v>9889</v>
      </c>
    </row>
    <row r="10098" spans="1:3" x14ac:dyDescent="0.25">
      <c r="A10098" t="str">
        <f>"0611838249100"</f>
        <v>0611838249100</v>
      </c>
      <c r="B10098" t="str">
        <f>"LK4351"</f>
        <v>LK4351</v>
      </c>
      <c r="C10098" t="s">
        <v>9890</v>
      </c>
    </row>
    <row r="10099" spans="1:3" x14ac:dyDescent="0.25">
      <c r="A10099" t="str">
        <f>"0611838250050"</f>
        <v>0611838250050</v>
      </c>
      <c r="B10099" t="str">
        <f>"NM0031"</f>
        <v>NM0031</v>
      </c>
      <c r="C10099" t="s">
        <v>9891</v>
      </c>
    </row>
    <row r="10100" spans="1:3" x14ac:dyDescent="0.25">
      <c r="A10100" t="str">
        <f>"0611838251100"</f>
        <v>0611838251100</v>
      </c>
      <c r="B10100" t="str">
        <f>"LK1721"</f>
        <v>LK1721</v>
      </c>
      <c r="C10100" t="s">
        <v>9892</v>
      </c>
    </row>
    <row r="10101" spans="1:3" x14ac:dyDescent="0.25">
      <c r="A10101" t="str">
        <f>"0611838252025"</f>
        <v>0611838252025</v>
      </c>
      <c r="B10101" t="str">
        <f>"MC2308"</f>
        <v>MC2308</v>
      </c>
      <c r="C10101" t="s">
        <v>9893</v>
      </c>
    </row>
    <row r="10102" spans="1:3" x14ac:dyDescent="0.25">
      <c r="A10102" t="str">
        <f>"0611838253050"</f>
        <v>0611838253050</v>
      </c>
      <c r="B10102" t="str">
        <f>"NM0032"</f>
        <v>NM0032</v>
      </c>
      <c r="C10102" t="s">
        <v>9894</v>
      </c>
    </row>
    <row r="10103" spans="1:3" x14ac:dyDescent="0.25">
      <c r="A10103" t="str">
        <f>"0611838254100"</f>
        <v>0611838254100</v>
      </c>
      <c r="B10103" t="str">
        <f>"LK6520"</f>
        <v>LK6520</v>
      </c>
      <c r="C10103" t="s">
        <v>9895</v>
      </c>
    </row>
    <row r="10104" spans="1:3" x14ac:dyDescent="0.25">
      <c r="A10104" t="str">
        <f>"0611906902100"</f>
        <v>0611906902100</v>
      </c>
      <c r="B10104" t="str">
        <f>"LK7224"</f>
        <v>LK7224</v>
      </c>
      <c r="C10104" t="s">
        <v>9898</v>
      </c>
    </row>
    <row r="10105" spans="1:3" x14ac:dyDescent="0.25">
      <c r="A10105" t="str">
        <f>"0611838255100"</f>
        <v>0611838255100</v>
      </c>
      <c r="B10105" t="str">
        <f>"LK6948"</f>
        <v>LK6948</v>
      </c>
      <c r="C10105" t="s">
        <v>9899</v>
      </c>
    </row>
    <row r="10106" spans="1:3" x14ac:dyDescent="0.25">
      <c r="A10106" t="str">
        <f>"0611838256100"</f>
        <v>0611838256100</v>
      </c>
      <c r="B10106" t="str">
        <f>"LK1986"</f>
        <v>LK1986</v>
      </c>
      <c r="C10106" t="s">
        <v>9896</v>
      </c>
    </row>
    <row r="10107" spans="1:3" x14ac:dyDescent="0.25">
      <c r="A10107" t="str">
        <f>"0611838257050"</f>
        <v>0611838257050</v>
      </c>
      <c r="B10107" t="str">
        <f>"NM0033"</f>
        <v>NM0033</v>
      </c>
      <c r="C10107" t="s">
        <v>9897</v>
      </c>
    </row>
    <row r="10108" spans="1:3" x14ac:dyDescent="0.25">
      <c r="A10108" t="str">
        <f>"0611838258100"</f>
        <v>0611838258100</v>
      </c>
      <c r="B10108" t="str">
        <f>"LK1346"</f>
        <v>LK1346</v>
      </c>
      <c r="C10108" t="s">
        <v>9901</v>
      </c>
    </row>
    <row r="10109" spans="1:3" x14ac:dyDescent="0.25">
      <c r="A10109" t="str">
        <f>"0611838259100"</f>
        <v>0611838259100</v>
      </c>
      <c r="B10109" t="str">
        <f>"MB0012"</f>
        <v>MB0012</v>
      </c>
      <c r="C10109" t="s">
        <v>9900</v>
      </c>
    </row>
    <row r="10110" spans="1:3" x14ac:dyDescent="0.25">
      <c r="A10110" t="str">
        <f>"0611838261100"</f>
        <v>0611838261100</v>
      </c>
      <c r="B10110" t="str">
        <f>"LK5670"</f>
        <v>LK5670</v>
      </c>
      <c r="C10110" t="s">
        <v>9902</v>
      </c>
    </row>
    <row r="10111" spans="1:3" x14ac:dyDescent="0.25">
      <c r="A10111" t="str">
        <f>"0611838264100"</f>
        <v>0611838264100</v>
      </c>
      <c r="B10111" t="str">
        <f>"LK4882"</f>
        <v>LK4882</v>
      </c>
      <c r="C10111" t="s">
        <v>9904</v>
      </c>
    </row>
    <row r="10112" spans="1:3" x14ac:dyDescent="0.25">
      <c r="A10112" t="str">
        <f>"0611838265050"</f>
        <v>0611838265050</v>
      </c>
      <c r="B10112" t="str">
        <f>"NM0036"</f>
        <v>NM0036</v>
      </c>
      <c r="C10112" t="s">
        <v>9905</v>
      </c>
    </row>
    <row r="10113" spans="1:3" x14ac:dyDescent="0.25">
      <c r="A10113" t="str">
        <f>"0611838262100"</f>
        <v>0611838262100</v>
      </c>
      <c r="B10113" t="str">
        <f>"LK4352"</f>
        <v>LK4352</v>
      </c>
      <c r="C10113" t="s">
        <v>9903</v>
      </c>
    </row>
    <row r="10114" spans="1:3" x14ac:dyDescent="0.25">
      <c r="A10114" t="str">
        <f>"0611838267100"</f>
        <v>0611838267100</v>
      </c>
      <c r="B10114" t="str">
        <f>"LK1723"</f>
        <v>LK1723</v>
      </c>
      <c r="C10114" t="s">
        <v>9906</v>
      </c>
    </row>
    <row r="10115" spans="1:3" x14ac:dyDescent="0.25">
      <c r="A10115" t="str">
        <f>"0611838268050"</f>
        <v>0611838268050</v>
      </c>
      <c r="B10115" t="str">
        <f>"NM0039"</f>
        <v>NM0039</v>
      </c>
      <c r="C10115" t="s">
        <v>9907</v>
      </c>
    </row>
    <row r="10116" spans="1:3" x14ac:dyDescent="0.25">
      <c r="A10116" t="str">
        <f>"0611838269100"</f>
        <v>0611838269100</v>
      </c>
      <c r="B10116" t="str">
        <f>"LK5602"</f>
        <v>LK5602</v>
      </c>
      <c r="C10116" t="s">
        <v>9908</v>
      </c>
    </row>
    <row r="10117" spans="1:3" x14ac:dyDescent="0.25">
      <c r="A10117" t="str">
        <f>"0611838270100"</f>
        <v>0611838270100</v>
      </c>
      <c r="B10117" t="str">
        <f>"LK5603"</f>
        <v>LK5603</v>
      </c>
      <c r="C10117" t="s">
        <v>9909</v>
      </c>
    </row>
    <row r="10118" spans="1:3" x14ac:dyDescent="0.25">
      <c r="A10118" t="str">
        <f>"0611838271100"</f>
        <v>0611838271100</v>
      </c>
      <c r="B10118" t="str">
        <f>"LK5604"</f>
        <v>LK5604</v>
      </c>
      <c r="C10118" t="s">
        <v>9910</v>
      </c>
    </row>
    <row r="10119" spans="1:3" x14ac:dyDescent="0.25">
      <c r="A10119" t="str">
        <f>"0611838272050"</f>
        <v>0611838272050</v>
      </c>
      <c r="B10119" t="str">
        <f>"NM0073"</f>
        <v>NM0073</v>
      </c>
      <c r="C10119" t="s">
        <v>9911</v>
      </c>
    </row>
    <row r="10120" spans="1:3" x14ac:dyDescent="0.25">
      <c r="A10120" t="str">
        <f>"0611838273100"</f>
        <v>0611838273100</v>
      </c>
      <c r="B10120" t="str">
        <f>"LK4353"</f>
        <v>LK4353</v>
      </c>
      <c r="C10120" t="s">
        <v>9912</v>
      </c>
    </row>
    <row r="10121" spans="1:3" x14ac:dyDescent="0.25">
      <c r="A10121" t="str">
        <f>"0611838274050"</f>
        <v>0611838274050</v>
      </c>
      <c r="B10121" t="str">
        <f>"NM0041"</f>
        <v>NM0041</v>
      </c>
      <c r="C10121" t="s">
        <v>9913</v>
      </c>
    </row>
    <row r="10122" spans="1:3" x14ac:dyDescent="0.25">
      <c r="A10122" t="str">
        <f>"0611838275100"</f>
        <v>0611838275100</v>
      </c>
      <c r="B10122" t="str">
        <f>"LK1082"</f>
        <v>LK1082</v>
      </c>
      <c r="C10122" t="s">
        <v>9914</v>
      </c>
    </row>
    <row r="10123" spans="1:3" x14ac:dyDescent="0.25">
      <c r="A10123" t="str">
        <f>"0611838276025"</f>
        <v>0611838276025</v>
      </c>
      <c r="B10123" t="str">
        <f>"MC1615"</f>
        <v>MC1615</v>
      </c>
      <c r="C10123" t="s">
        <v>9915</v>
      </c>
    </row>
    <row r="10124" spans="1:3" x14ac:dyDescent="0.25">
      <c r="A10124" t="str">
        <f>"0611838277050"</f>
        <v>0611838277050</v>
      </c>
      <c r="B10124" t="str">
        <f>"NM0042"</f>
        <v>NM0042</v>
      </c>
      <c r="C10124" t="s">
        <v>9916</v>
      </c>
    </row>
    <row r="10125" spans="1:3" x14ac:dyDescent="0.25">
      <c r="A10125" t="str">
        <f>"0611838278100"</f>
        <v>0611838278100</v>
      </c>
      <c r="B10125" t="str">
        <f>"LK5675"</f>
        <v>LK5675</v>
      </c>
      <c r="C10125" t="s">
        <v>9917</v>
      </c>
    </row>
    <row r="10126" spans="1:3" x14ac:dyDescent="0.25">
      <c r="A10126" t="str">
        <f>"0611838279050"</f>
        <v>0611838279050</v>
      </c>
      <c r="B10126" t="str">
        <f>"NM0074"</f>
        <v>NM0074</v>
      </c>
      <c r="C10126" t="s">
        <v>9918</v>
      </c>
    </row>
    <row r="10127" spans="1:3" x14ac:dyDescent="0.25">
      <c r="A10127" t="str">
        <f>"0611837775100"</f>
        <v>0611837775100</v>
      </c>
      <c r="B10127" t="str">
        <f>"LK5667"</f>
        <v>LK5667</v>
      </c>
      <c r="C10127" t="s">
        <v>9919</v>
      </c>
    </row>
    <row r="10128" spans="1:3" x14ac:dyDescent="0.25">
      <c r="A10128" t="str">
        <f>"0611837778100"</f>
        <v>0611837778100</v>
      </c>
      <c r="B10128" t="str">
        <f>"LK6229"</f>
        <v>LK6229</v>
      </c>
      <c r="C10128" t="s">
        <v>9920</v>
      </c>
    </row>
    <row r="10129" spans="1:3" x14ac:dyDescent="0.25">
      <c r="A10129" t="str">
        <f>"0611837779100"</f>
        <v>0611837779100</v>
      </c>
      <c r="B10129" t="str">
        <f>"LK5080"</f>
        <v>LK5080</v>
      </c>
      <c r="C10129" t="s">
        <v>9921</v>
      </c>
    </row>
    <row r="10130" spans="1:3" x14ac:dyDescent="0.25">
      <c r="A10130" t="str">
        <f>"0611837780100"</f>
        <v>0611837780100</v>
      </c>
      <c r="B10130" t="str">
        <f>"LK5081"</f>
        <v>LK5081</v>
      </c>
      <c r="C10130" t="s">
        <v>9922</v>
      </c>
    </row>
    <row r="10131" spans="1:3" x14ac:dyDescent="0.25">
      <c r="A10131" t="str">
        <f>"0611837781100"</f>
        <v>0611837781100</v>
      </c>
      <c r="B10131" t="str">
        <f>"LK5082"</f>
        <v>LK5082</v>
      </c>
      <c r="C10131" t="s">
        <v>9923</v>
      </c>
    </row>
    <row r="10132" spans="1:3" x14ac:dyDescent="0.25">
      <c r="A10132" t="str">
        <f>"0611837782100"</f>
        <v>0611837782100</v>
      </c>
      <c r="B10132" t="str">
        <f>"LK5083"</f>
        <v>LK5083</v>
      </c>
      <c r="C10132" t="s">
        <v>9924</v>
      </c>
    </row>
    <row r="10133" spans="1:3" x14ac:dyDescent="0.25">
      <c r="A10133" t="str">
        <f>"0611837783100"</f>
        <v>0611837783100</v>
      </c>
      <c r="B10133" t="str">
        <f>"LK5084"</f>
        <v>LK5084</v>
      </c>
      <c r="C10133" t="s">
        <v>9925</v>
      </c>
    </row>
    <row r="10134" spans="1:3" x14ac:dyDescent="0.25">
      <c r="A10134" t="str">
        <f>"0611837784100"</f>
        <v>0611837784100</v>
      </c>
      <c r="B10134" t="str">
        <f>"LK5085"</f>
        <v>LK5085</v>
      </c>
      <c r="C10134" t="s">
        <v>9926</v>
      </c>
    </row>
    <row r="10135" spans="1:3" x14ac:dyDescent="0.25">
      <c r="A10135" t="str">
        <f>"0611884379100"</f>
        <v>0611884379100</v>
      </c>
      <c r="B10135" t="str">
        <f>"LK7139"</f>
        <v>LK7139</v>
      </c>
      <c r="C10135" t="s">
        <v>9927</v>
      </c>
    </row>
    <row r="10136" spans="1:3" x14ac:dyDescent="0.25">
      <c r="A10136" t="str">
        <f>"0611837785100"</f>
        <v>0611837785100</v>
      </c>
      <c r="B10136" t="str">
        <f>"LK5086"</f>
        <v>LK5086</v>
      </c>
      <c r="C10136" t="s">
        <v>9928</v>
      </c>
    </row>
    <row r="10137" spans="1:3" x14ac:dyDescent="0.25">
      <c r="A10137" t="str">
        <f>"0611837786100"</f>
        <v>0611837786100</v>
      </c>
      <c r="B10137" t="str">
        <f>"LK6918"</f>
        <v>LK6918</v>
      </c>
      <c r="C10137" t="s">
        <v>9929</v>
      </c>
    </row>
    <row r="10138" spans="1:3" x14ac:dyDescent="0.25">
      <c r="A10138" t="str">
        <f>"0611837787100"</f>
        <v>0611837787100</v>
      </c>
      <c r="B10138" t="str">
        <f>"LK6919"</f>
        <v>LK6919</v>
      </c>
      <c r="C10138" t="s">
        <v>9930</v>
      </c>
    </row>
    <row r="10139" spans="1:3" x14ac:dyDescent="0.25">
      <c r="A10139" t="str">
        <f>"0611837788100"</f>
        <v>0611837788100</v>
      </c>
      <c r="B10139" t="str">
        <f>"LK6920"</f>
        <v>LK6920</v>
      </c>
      <c r="C10139" t="s">
        <v>9931</v>
      </c>
    </row>
    <row r="10140" spans="1:3" x14ac:dyDescent="0.25">
      <c r="A10140" t="str">
        <f>"0611837789100"</f>
        <v>0611837789100</v>
      </c>
      <c r="B10140" t="str">
        <f>"LK6921"</f>
        <v>LK6921</v>
      </c>
      <c r="C10140" t="s">
        <v>9932</v>
      </c>
    </row>
    <row r="10141" spans="1:3" x14ac:dyDescent="0.25">
      <c r="A10141" t="str">
        <f>"0611837790100"</f>
        <v>0611837790100</v>
      </c>
      <c r="B10141" t="str">
        <f>"LK6922"</f>
        <v>LK6922</v>
      </c>
      <c r="C10141" t="s">
        <v>9933</v>
      </c>
    </row>
    <row r="10142" spans="1:3" x14ac:dyDescent="0.25">
      <c r="A10142" t="str">
        <f>"0611837791100"</f>
        <v>0611837791100</v>
      </c>
      <c r="B10142" t="str">
        <f>"LK6923"</f>
        <v>LK6923</v>
      </c>
      <c r="C10142" t="s">
        <v>9934</v>
      </c>
    </row>
    <row r="10143" spans="1:3" x14ac:dyDescent="0.25">
      <c r="A10143" t="str">
        <f>"0611837792100"</f>
        <v>0611837792100</v>
      </c>
      <c r="B10143" t="str">
        <f>"LK6924"</f>
        <v>LK6924</v>
      </c>
      <c r="C10143" t="s">
        <v>9935</v>
      </c>
    </row>
    <row r="10144" spans="1:3" x14ac:dyDescent="0.25">
      <c r="A10144" t="str">
        <f>"0611837793100"</f>
        <v>0611837793100</v>
      </c>
      <c r="B10144" t="str">
        <f>"LK6925"</f>
        <v>LK6925</v>
      </c>
      <c r="C10144" t="s">
        <v>9936</v>
      </c>
    </row>
    <row r="10145" spans="1:3" x14ac:dyDescent="0.25">
      <c r="A10145" t="str">
        <f>"0611837794100"</f>
        <v>0611837794100</v>
      </c>
      <c r="B10145" t="str">
        <f>"LK6926"</f>
        <v>LK6926</v>
      </c>
      <c r="C10145" t="s">
        <v>9937</v>
      </c>
    </row>
    <row r="10146" spans="1:3" x14ac:dyDescent="0.25">
      <c r="A10146" t="str">
        <f>"0611837795100"</f>
        <v>0611837795100</v>
      </c>
      <c r="B10146" t="str">
        <f>"LK6927"</f>
        <v>LK6927</v>
      </c>
      <c r="C10146" t="s">
        <v>9938</v>
      </c>
    </row>
    <row r="10147" spans="1:3" x14ac:dyDescent="0.25">
      <c r="A10147" t="str">
        <f>"0611837796100"</f>
        <v>0611837796100</v>
      </c>
      <c r="B10147" t="str">
        <f>"LK6928"</f>
        <v>LK6928</v>
      </c>
      <c r="C10147" t="s">
        <v>9939</v>
      </c>
    </row>
    <row r="10148" spans="1:3" x14ac:dyDescent="0.25">
      <c r="A10148" t="str">
        <f>"0611837797100"</f>
        <v>0611837797100</v>
      </c>
      <c r="B10148" t="str">
        <f>"LK6929"</f>
        <v>LK6929</v>
      </c>
      <c r="C10148" t="s">
        <v>9940</v>
      </c>
    </row>
    <row r="10149" spans="1:3" x14ac:dyDescent="0.25">
      <c r="A10149" t="str">
        <f>"0611837798100"</f>
        <v>0611837798100</v>
      </c>
      <c r="B10149" t="str">
        <f>"LK6930"</f>
        <v>LK6930</v>
      </c>
      <c r="C10149" t="s">
        <v>9941</v>
      </c>
    </row>
    <row r="10150" spans="1:3" x14ac:dyDescent="0.25">
      <c r="A10150" t="str">
        <f>"0611837799100"</f>
        <v>0611837799100</v>
      </c>
      <c r="B10150" t="str">
        <f>"LK6931"</f>
        <v>LK6931</v>
      </c>
      <c r="C10150" t="s">
        <v>9942</v>
      </c>
    </row>
    <row r="10151" spans="1:3" x14ac:dyDescent="0.25">
      <c r="A10151" t="str">
        <f>"0611893652050"</f>
        <v>0611893652050</v>
      </c>
      <c r="B10151" t="str">
        <f>"CR5407"</f>
        <v>CR5407</v>
      </c>
      <c r="C10151" t="s">
        <v>9943</v>
      </c>
    </row>
    <row r="10152" spans="1:3" x14ac:dyDescent="0.25">
      <c r="A10152" t="str">
        <f>"0611863533050"</f>
        <v>0611863533050</v>
      </c>
      <c r="B10152" t="str">
        <f>"CR5222"</f>
        <v>CR5222</v>
      </c>
      <c r="C10152" t="s">
        <v>9944</v>
      </c>
    </row>
    <row r="10153" spans="1:3" x14ac:dyDescent="0.25">
      <c r="A10153" t="str">
        <f>"0611863534050"</f>
        <v>0611863534050</v>
      </c>
      <c r="B10153" t="str">
        <f>"CR5223"</f>
        <v>CR5223</v>
      </c>
      <c r="C10153" t="s">
        <v>9945</v>
      </c>
    </row>
    <row r="10154" spans="1:3" x14ac:dyDescent="0.25">
      <c r="A10154" t="str">
        <f>"0611863535050"</f>
        <v>0611863535050</v>
      </c>
      <c r="B10154" t="str">
        <f>"CR5224"</f>
        <v>CR5224</v>
      </c>
      <c r="C10154" t="s">
        <v>9946</v>
      </c>
    </row>
    <row r="10155" spans="1:3" x14ac:dyDescent="0.25">
      <c r="A10155" t="str">
        <f>"0611893653050"</f>
        <v>0611893653050</v>
      </c>
      <c r="B10155" t="str">
        <f>"CR5351"</f>
        <v>CR5351</v>
      </c>
      <c r="C10155" t="s">
        <v>9947</v>
      </c>
    </row>
    <row r="10156" spans="1:3" x14ac:dyDescent="0.25">
      <c r="A10156" t="str">
        <f>"0611857070100"</f>
        <v>0611857070100</v>
      </c>
      <c r="B10156" t="str">
        <f>"LQ3897"</f>
        <v>LQ3897</v>
      </c>
      <c r="C10156" t="s">
        <v>9948</v>
      </c>
    </row>
    <row r="10157" spans="1:3" x14ac:dyDescent="0.25">
      <c r="A10157" t="str">
        <f>"0611863536050"</f>
        <v>0611863536050</v>
      </c>
      <c r="B10157" t="str">
        <f>"CR5225"</f>
        <v>CR5225</v>
      </c>
      <c r="C10157" t="s">
        <v>9949</v>
      </c>
    </row>
    <row r="10158" spans="1:3" x14ac:dyDescent="0.25">
      <c r="A10158" t="str">
        <f>"0611863537050"</f>
        <v>0611863537050</v>
      </c>
      <c r="B10158" t="str">
        <f>"CR5226"</f>
        <v>CR5226</v>
      </c>
      <c r="C10158" t="s">
        <v>9950</v>
      </c>
    </row>
    <row r="10159" spans="1:3" x14ac:dyDescent="0.25">
      <c r="A10159" t="str">
        <f>"0611863538050"</f>
        <v>0611863538050</v>
      </c>
      <c r="B10159" t="str">
        <f>"CR3332"</f>
        <v>CR3332</v>
      </c>
      <c r="C10159" t="s">
        <v>9951</v>
      </c>
    </row>
    <row r="10160" spans="1:3" x14ac:dyDescent="0.25">
      <c r="A10160" t="str">
        <f>"0611863539050"</f>
        <v>0611863539050</v>
      </c>
      <c r="B10160" t="str">
        <f>"CR2891"</f>
        <v>CR2891</v>
      </c>
      <c r="C10160" t="s">
        <v>9952</v>
      </c>
    </row>
    <row r="10161" spans="1:3" x14ac:dyDescent="0.25">
      <c r="A10161" t="str">
        <f>"0611863540050"</f>
        <v>0611863540050</v>
      </c>
      <c r="B10161" t="str">
        <f>"CR2892"</f>
        <v>CR2892</v>
      </c>
      <c r="C10161" t="s">
        <v>9953</v>
      </c>
    </row>
    <row r="10162" spans="1:3" x14ac:dyDescent="0.25">
      <c r="A10162" t="str">
        <f>"0611863541050"</f>
        <v>0611863541050</v>
      </c>
      <c r="B10162" t="str">
        <f>"CR4068"</f>
        <v>CR4068</v>
      </c>
      <c r="C10162" t="s">
        <v>9954</v>
      </c>
    </row>
    <row r="10163" spans="1:3" x14ac:dyDescent="0.25">
      <c r="A10163" t="str">
        <f>"0611863542050"</f>
        <v>0611863542050</v>
      </c>
      <c r="B10163" t="str">
        <f>"CR4069"</f>
        <v>CR4069</v>
      </c>
      <c r="C10163" t="s">
        <v>9955</v>
      </c>
    </row>
    <row r="10164" spans="1:3" x14ac:dyDescent="0.25">
      <c r="A10164" t="str">
        <f>"0611863543050"</f>
        <v>0611863543050</v>
      </c>
      <c r="B10164" t="str">
        <f>"CR2901"</f>
        <v>CR2901</v>
      </c>
      <c r="C10164" t="s">
        <v>9956</v>
      </c>
    </row>
    <row r="10165" spans="1:3" x14ac:dyDescent="0.25">
      <c r="A10165" t="str">
        <f>"0611863544050"</f>
        <v>0611863544050</v>
      </c>
      <c r="B10165" t="str">
        <f>"CR2903"</f>
        <v>CR2903</v>
      </c>
      <c r="C10165" t="s">
        <v>9957</v>
      </c>
    </row>
    <row r="10166" spans="1:3" x14ac:dyDescent="0.25">
      <c r="A10166" t="str">
        <f>"0611863545050"</f>
        <v>0611863545050</v>
      </c>
      <c r="B10166" t="str">
        <f>"CR2904"</f>
        <v>CR2904</v>
      </c>
      <c r="C10166" t="s">
        <v>9958</v>
      </c>
    </row>
    <row r="10167" spans="1:3" x14ac:dyDescent="0.25">
      <c r="A10167" t="str">
        <f>"0611863546050"</f>
        <v>0611863546050</v>
      </c>
      <c r="B10167" t="str">
        <f>"CR2905"</f>
        <v>CR2905</v>
      </c>
      <c r="C10167" t="s">
        <v>9959</v>
      </c>
    </row>
    <row r="10168" spans="1:3" x14ac:dyDescent="0.25">
      <c r="A10168" t="str">
        <f>"0611863547050"</f>
        <v>0611863547050</v>
      </c>
      <c r="B10168" t="str">
        <f>"CR2473"</f>
        <v>CR2473</v>
      </c>
      <c r="C10168" t="s">
        <v>9960</v>
      </c>
    </row>
    <row r="10169" spans="1:3" x14ac:dyDescent="0.25">
      <c r="A10169" t="str">
        <f>"0611837800100"</f>
        <v>0611837800100</v>
      </c>
      <c r="B10169" t="str">
        <f>"LK6932"</f>
        <v>LK6932</v>
      </c>
      <c r="C10169" t="s">
        <v>9961</v>
      </c>
    </row>
    <row r="10170" spans="1:3" x14ac:dyDescent="0.25">
      <c r="A10170" t="str">
        <f>"0611837801100"</f>
        <v>0611837801100</v>
      </c>
      <c r="B10170" t="str">
        <f>"LK6933"</f>
        <v>LK6933</v>
      </c>
      <c r="C10170" t="s">
        <v>9962</v>
      </c>
    </row>
    <row r="10171" spans="1:3" x14ac:dyDescent="0.25">
      <c r="A10171" t="str">
        <f>"0611837802100"</f>
        <v>0611837802100</v>
      </c>
      <c r="B10171" t="str">
        <f>"LK6934"</f>
        <v>LK6934</v>
      </c>
      <c r="C10171" t="s">
        <v>9963</v>
      </c>
    </row>
    <row r="10172" spans="1:3" x14ac:dyDescent="0.25">
      <c r="A10172" t="str">
        <f>"0611837803100"</f>
        <v>0611837803100</v>
      </c>
      <c r="B10172" t="str">
        <f>"LK6935"</f>
        <v>LK6935</v>
      </c>
      <c r="C10172" t="s">
        <v>9964</v>
      </c>
    </row>
    <row r="10173" spans="1:3" x14ac:dyDescent="0.25">
      <c r="A10173" t="str">
        <f>"0611837804100"</f>
        <v>0611837804100</v>
      </c>
      <c r="B10173" t="str">
        <f>"LK6936"</f>
        <v>LK6936</v>
      </c>
      <c r="C10173" t="s">
        <v>9965</v>
      </c>
    </row>
    <row r="10174" spans="1:3" x14ac:dyDescent="0.25">
      <c r="A10174" t="str">
        <f>"0611837805100"</f>
        <v>0611837805100</v>
      </c>
      <c r="B10174" t="str">
        <f>"LK6937"</f>
        <v>LK6937</v>
      </c>
      <c r="C10174" t="s">
        <v>9966</v>
      </c>
    </row>
    <row r="10175" spans="1:3" x14ac:dyDescent="0.25">
      <c r="A10175" t="str">
        <f>"0611837806100"</f>
        <v>0611837806100</v>
      </c>
      <c r="B10175" t="str">
        <f>"LK6938"</f>
        <v>LK6938</v>
      </c>
      <c r="C10175" t="s">
        <v>9967</v>
      </c>
    </row>
    <row r="10176" spans="1:3" x14ac:dyDescent="0.25">
      <c r="A10176" t="str">
        <f>"0611837807100"</f>
        <v>0611837807100</v>
      </c>
      <c r="B10176" t="str">
        <f>"LK6939"</f>
        <v>LK6939</v>
      </c>
      <c r="C10176" t="s">
        <v>9968</v>
      </c>
    </row>
    <row r="10177" spans="1:3" x14ac:dyDescent="0.25">
      <c r="A10177" t="str">
        <f>"0611837808100"</f>
        <v>0611837808100</v>
      </c>
      <c r="B10177" t="str">
        <f>"LK6940"</f>
        <v>LK6940</v>
      </c>
      <c r="C10177" t="s">
        <v>9969</v>
      </c>
    </row>
    <row r="10178" spans="1:3" x14ac:dyDescent="0.25">
      <c r="A10178" t="str">
        <f>"0611837809100"</f>
        <v>0611837809100</v>
      </c>
      <c r="B10178" t="str">
        <f>"LK6941"</f>
        <v>LK6941</v>
      </c>
      <c r="C10178" t="s">
        <v>9970</v>
      </c>
    </row>
    <row r="10179" spans="1:3" x14ac:dyDescent="0.25">
      <c r="A10179" t="str">
        <f>"0611837810100"</f>
        <v>0611837810100</v>
      </c>
      <c r="B10179" t="str">
        <f>"LB6236"</f>
        <v>LB6236</v>
      </c>
      <c r="C10179" t="s">
        <v>9971</v>
      </c>
    </row>
    <row r="10180" spans="1:3" x14ac:dyDescent="0.25">
      <c r="A10180" t="str">
        <f>"0611837811100"</f>
        <v>0611837811100</v>
      </c>
      <c r="B10180" t="str">
        <f>"LB6309"</f>
        <v>LB6309</v>
      </c>
      <c r="C10180" t="s">
        <v>9972</v>
      </c>
    </row>
    <row r="10181" spans="1:3" x14ac:dyDescent="0.25">
      <c r="A10181" t="str">
        <f>"0611837812100"</f>
        <v>0611837812100</v>
      </c>
      <c r="B10181" t="str">
        <f>"LB6460"</f>
        <v>LB6460</v>
      </c>
      <c r="C10181" t="s">
        <v>9973</v>
      </c>
    </row>
    <row r="10182" spans="1:3" x14ac:dyDescent="0.25">
      <c r="A10182" t="str">
        <f>"0611837813100"</f>
        <v>0611837813100</v>
      </c>
      <c r="B10182" t="str">
        <f>"LK1347"</f>
        <v>LK1347</v>
      </c>
      <c r="C10182" t="s">
        <v>9974</v>
      </c>
    </row>
    <row r="10183" spans="1:3" x14ac:dyDescent="0.25">
      <c r="A10183" t="str">
        <f>"0611837814100"</f>
        <v>0611837814100</v>
      </c>
      <c r="B10183" t="str">
        <f>"LB7566"</f>
        <v>LB7566</v>
      </c>
      <c r="C10183" t="s">
        <v>9975</v>
      </c>
    </row>
    <row r="10184" spans="1:3" x14ac:dyDescent="0.25">
      <c r="A10184" t="str">
        <f>"0611863548050"</f>
        <v>0611863548050</v>
      </c>
      <c r="B10184" t="str">
        <f>"CE1671"</f>
        <v>CE1671</v>
      </c>
      <c r="C10184" t="s">
        <v>9976</v>
      </c>
    </row>
    <row r="10185" spans="1:3" x14ac:dyDescent="0.25">
      <c r="A10185" t="str">
        <f>"0611863549050"</f>
        <v>0611863549050</v>
      </c>
      <c r="B10185" t="str">
        <f>"CE1672"</f>
        <v>CE1672</v>
      </c>
      <c r="C10185" t="s">
        <v>9977</v>
      </c>
    </row>
    <row r="10186" spans="1:3" x14ac:dyDescent="0.25">
      <c r="A10186" t="str">
        <f>"0611863550050"</f>
        <v>0611863550050</v>
      </c>
      <c r="B10186" t="str">
        <f>"CE1673"</f>
        <v>CE1673</v>
      </c>
      <c r="C10186" t="s">
        <v>9978</v>
      </c>
    </row>
    <row r="10187" spans="1:3" x14ac:dyDescent="0.25">
      <c r="A10187" t="str">
        <f>"0611863551050"</f>
        <v>0611863551050</v>
      </c>
      <c r="B10187" t="str">
        <f>"CE1615"</f>
        <v>CE1615</v>
      </c>
      <c r="C10187" t="s">
        <v>9979</v>
      </c>
    </row>
    <row r="10188" spans="1:3" x14ac:dyDescent="0.25">
      <c r="A10188" t="str">
        <f>"0611837958100"</f>
        <v>0611837958100</v>
      </c>
      <c r="B10188" t="str">
        <f>"MB6150"</f>
        <v>MB6150</v>
      </c>
      <c r="C10188" t="s">
        <v>9982</v>
      </c>
    </row>
    <row r="10189" spans="1:3" x14ac:dyDescent="0.25">
      <c r="A10189" t="str">
        <f>"0611837959025"</f>
        <v>0611837959025</v>
      </c>
      <c r="B10189" t="str">
        <f>"MC2310"</f>
        <v>MC2310</v>
      </c>
      <c r="C10189" t="s">
        <v>9983</v>
      </c>
    </row>
    <row r="10190" spans="1:3" x14ac:dyDescent="0.25">
      <c r="A10190" t="str">
        <f>"0611884380100"</f>
        <v>0611884380100</v>
      </c>
      <c r="B10190" t="str">
        <f>"LQ0974"</f>
        <v>LQ0974</v>
      </c>
      <c r="C10190" t="s">
        <v>9980</v>
      </c>
    </row>
    <row r="10191" spans="1:3" x14ac:dyDescent="0.25">
      <c r="A10191" t="str">
        <f>"0611837815100"</f>
        <v>0611837815100</v>
      </c>
      <c r="B10191" t="str">
        <f>"LB6590"</f>
        <v>LB6590</v>
      </c>
      <c r="C10191" t="s">
        <v>9981</v>
      </c>
    </row>
    <row r="10192" spans="1:3" x14ac:dyDescent="0.25">
      <c r="A10192" t="str">
        <f>"0611837818100"</f>
        <v>0611837818100</v>
      </c>
      <c r="B10192" t="str">
        <f>"LQ0962"</f>
        <v>LQ0962</v>
      </c>
      <c r="C10192" t="s">
        <v>9985</v>
      </c>
    </row>
    <row r="10193" spans="1:3" x14ac:dyDescent="0.25">
      <c r="A10193" t="str">
        <f>"0611884381100"</f>
        <v>0611884381100</v>
      </c>
      <c r="B10193" t="str">
        <f>"LK7175"</f>
        <v>LK7175</v>
      </c>
      <c r="C10193" t="s">
        <v>9986</v>
      </c>
    </row>
    <row r="10194" spans="1:3" x14ac:dyDescent="0.25">
      <c r="A10194" t="str">
        <f>"0611837822100"</f>
        <v>0611837822100</v>
      </c>
      <c r="B10194" t="str">
        <f>"LK0555"</f>
        <v>LK0555</v>
      </c>
      <c r="C10194" t="s">
        <v>9987</v>
      </c>
    </row>
    <row r="10195" spans="1:3" x14ac:dyDescent="0.25">
      <c r="A10195" t="str">
        <f>"0611837823100"</f>
        <v>0611837823100</v>
      </c>
      <c r="B10195" t="str">
        <f>"LK2354"</f>
        <v>LK2354</v>
      </c>
      <c r="C10195" t="s">
        <v>9988</v>
      </c>
    </row>
    <row r="10196" spans="1:3" x14ac:dyDescent="0.25">
      <c r="A10196" t="str">
        <f>"0611837824100"</f>
        <v>0611837824100</v>
      </c>
      <c r="B10196" t="str">
        <f>"LK2704"</f>
        <v>LK2704</v>
      </c>
      <c r="C10196" t="s">
        <v>9989</v>
      </c>
    </row>
    <row r="10197" spans="1:3" x14ac:dyDescent="0.25">
      <c r="A10197" t="str">
        <f>"0611837830100"</f>
        <v>0611837830100</v>
      </c>
      <c r="B10197" t="str">
        <f>"LK0566"</f>
        <v>LK0566</v>
      </c>
      <c r="C10197" t="s">
        <v>9990</v>
      </c>
    </row>
    <row r="10198" spans="1:3" x14ac:dyDescent="0.25">
      <c r="A10198" t="str">
        <f>"0611837831100"</f>
        <v>0611837831100</v>
      </c>
      <c r="B10198" t="str">
        <f>"LQ0896"</f>
        <v>LQ0896</v>
      </c>
      <c r="C10198" t="s">
        <v>9991</v>
      </c>
    </row>
    <row r="10199" spans="1:3" x14ac:dyDescent="0.25">
      <c r="A10199" t="str">
        <f>"0611863552050"</f>
        <v>0611863552050</v>
      </c>
      <c r="B10199" t="str">
        <f>"CR3558"</f>
        <v>CR3558</v>
      </c>
      <c r="C10199" t="s">
        <v>9992</v>
      </c>
    </row>
    <row r="10200" spans="1:3" x14ac:dyDescent="0.25">
      <c r="A10200" t="str">
        <f>"0611863553050"</f>
        <v>0611863553050</v>
      </c>
      <c r="B10200" t="str">
        <f>"CR5227"</f>
        <v>CR5227</v>
      </c>
      <c r="C10200" t="s">
        <v>9993</v>
      </c>
    </row>
    <row r="10201" spans="1:3" x14ac:dyDescent="0.25">
      <c r="A10201" t="str">
        <f>"0611863554050"</f>
        <v>0611863554050</v>
      </c>
      <c r="B10201" t="str">
        <f>"CR5004"</f>
        <v>CR5004</v>
      </c>
      <c r="C10201" t="s">
        <v>9994</v>
      </c>
    </row>
    <row r="10202" spans="1:3" x14ac:dyDescent="0.25">
      <c r="A10202" t="str">
        <f>"0611857071100"</f>
        <v>0611857071100</v>
      </c>
      <c r="B10202" t="str">
        <f>"LK7058"</f>
        <v>LK7058</v>
      </c>
      <c r="C10202" t="s">
        <v>9995</v>
      </c>
    </row>
    <row r="10203" spans="1:3" x14ac:dyDescent="0.25">
      <c r="A10203" t="str">
        <f>"0611863555050"</f>
        <v>0611863555050</v>
      </c>
      <c r="B10203" t="str">
        <f>"CR2138"</f>
        <v>CR2138</v>
      </c>
      <c r="C10203" t="s">
        <v>9996</v>
      </c>
    </row>
    <row r="10204" spans="1:3" x14ac:dyDescent="0.25">
      <c r="A10204" t="str">
        <f>"0611837832100"</f>
        <v>0611837832100</v>
      </c>
      <c r="B10204" t="str">
        <f>"LB6576"</f>
        <v>LB6576</v>
      </c>
      <c r="C10204" t="s">
        <v>9997</v>
      </c>
    </row>
    <row r="10205" spans="1:3" x14ac:dyDescent="0.25">
      <c r="A10205" t="str">
        <f>"0611837833100"</f>
        <v>0611837833100</v>
      </c>
      <c r="B10205" t="str">
        <f>"LB7582"</f>
        <v>LB7582</v>
      </c>
      <c r="C10205" t="s">
        <v>9998</v>
      </c>
    </row>
    <row r="10206" spans="1:3" x14ac:dyDescent="0.25">
      <c r="A10206" t="str">
        <f>"0611837834100"</f>
        <v>0611837834100</v>
      </c>
      <c r="B10206" t="str">
        <f>"LB6577"</f>
        <v>LB6577</v>
      </c>
      <c r="C10206" t="s">
        <v>9999</v>
      </c>
    </row>
    <row r="10207" spans="1:3" x14ac:dyDescent="0.25">
      <c r="A10207" t="str">
        <f>"0611837835100"</f>
        <v>0611837835100</v>
      </c>
      <c r="B10207" t="str">
        <f>"LB6575"</f>
        <v>LB6575</v>
      </c>
      <c r="C10207" t="s">
        <v>10000</v>
      </c>
    </row>
    <row r="10208" spans="1:3" x14ac:dyDescent="0.25">
      <c r="A10208" t="str">
        <f>"0611837836100"</f>
        <v>0611837836100</v>
      </c>
      <c r="B10208" t="str">
        <f>"LB6579"</f>
        <v>LB6579</v>
      </c>
      <c r="C10208" t="s">
        <v>10001</v>
      </c>
    </row>
    <row r="10209" spans="1:3" x14ac:dyDescent="0.25">
      <c r="A10209" t="str">
        <f>"0611837837100"</f>
        <v>0611837837100</v>
      </c>
      <c r="B10209" t="str">
        <f>"LB6580"</f>
        <v>LB6580</v>
      </c>
      <c r="C10209" t="s">
        <v>10002</v>
      </c>
    </row>
    <row r="10210" spans="1:3" x14ac:dyDescent="0.25">
      <c r="A10210" t="str">
        <f>"0611837839100"</f>
        <v>0611837839100</v>
      </c>
      <c r="B10210" t="str">
        <f>"LB6428"</f>
        <v>LB6428</v>
      </c>
      <c r="C10210" t="s">
        <v>10003</v>
      </c>
    </row>
    <row r="10211" spans="1:3" x14ac:dyDescent="0.25">
      <c r="A10211" t="str">
        <f>"0611837840100"</f>
        <v>0611837840100</v>
      </c>
      <c r="B10211" t="str">
        <f>"LB6628"</f>
        <v>LB6628</v>
      </c>
      <c r="C10211" t="s">
        <v>10004</v>
      </c>
    </row>
    <row r="10212" spans="1:3" x14ac:dyDescent="0.25">
      <c r="A10212" t="str">
        <f>"0611837838100"</f>
        <v>0611837838100</v>
      </c>
      <c r="B10212" t="str">
        <f>"LK2963"</f>
        <v>LK2963</v>
      </c>
      <c r="C10212" t="s">
        <v>10005</v>
      </c>
    </row>
    <row r="10213" spans="1:3" x14ac:dyDescent="0.25">
      <c r="A10213" t="str">
        <f>"0611837841100"</f>
        <v>0611837841100</v>
      </c>
      <c r="B10213" t="str">
        <f>"LK1349"</f>
        <v>LK1349</v>
      </c>
      <c r="C10213" t="s">
        <v>10006</v>
      </c>
    </row>
    <row r="10214" spans="1:3" x14ac:dyDescent="0.25">
      <c r="A10214" t="str">
        <f>"0611837842100"</f>
        <v>0611837842100</v>
      </c>
      <c r="B10214" t="str">
        <f>"LB6314"</f>
        <v>LB6314</v>
      </c>
      <c r="C10214" t="s">
        <v>10007</v>
      </c>
    </row>
    <row r="10215" spans="1:3" x14ac:dyDescent="0.25">
      <c r="A10215" t="str">
        <f>"0611837843100"</f>
        <v>0611837843100</v>
      </c>
      <c r="B10215" t="str">
        <f>"LK2964"</f>
        <v>LK2964</v>
      </c>
      <c r="C10215" t="s">
        <v>10008</v>
      </c>
    </row>
    <row r="10216" spans="1:3" x14ac:dyDescent="0.25">
      <c r="A10216" t="str">
        <f>"0611837844100"</f>
        <v>0611837844100</v>
      </c>
      <c r="B10216" t="str">
        <f>"LB6429"</f>
        <v>LB6429</v>
      </c>
      <c r="C10216" t="s">
        <v>10009</v>
      </c>
    </row>
    <row r="10217" spans="1:3" x14ac:dyDescent="0.25">
      <c r="A10217" t="str">
        <f>"0611837845100"</f>
        <v>0611837845100</v>
      </c>
      <c r="B10217" t="str">
        <f>"LB6381"</f>
        <v>LB6381</v>
      </c>
      <c r="C10217" t="s">
        <v>10010</v>
      </c>
    </row>
    <row r="10218" spans="1:3" x14ac:dyDescent="0.25">
      <c r="A10218" t="str">
        <f>"0611837847100"</f>
        <v>0611837847100</v>
      </c>
      <c r="B10218" t="str">
        <f>"LB6431"</f>
        <v>LB6431</v>
      </c>
      <c r="C10218" t="s">
        <v>10011</v>
      </c>
    </row>
    <row r="10219" spans="1:3" x14ac:dyDescent="0.25">
      <c r="A10219" t="str">
        <f>"0611837848100"</f>
        <v>0611837848100</v>
      </c>
      <c r="B10219" t="str">
        <f>"LK1733"</f>
        <v>LK1733</v>
      </c>
      <c r="C10219" t="s">
        <v>10012</v>
      </c>
    </row>
    <row r="10220" spans="1:3" x14ac:dyDescent="0.25">
      <c r="A10220" t="str">
        <f>"0611837849100"</f>
        <v>0611837849100</v>
      </c>
      <c r="B10220" t="str">
        <f>"LB6432"</f>
        <v>LB6432</v>
      </c>
      <c r="C10220" t="s">
        <v>10013</v>
      </c>
    </row>
    <row r="10221" spans="1:3" x14ac:dyDescent="0.25">
      <c r="A10221" t="str">
        <f>"0611837850100"</f>
        <v>0611837850100</v>
      </c>
      <c r="B10221" t="str">
        <f>"LB6433"</f>
        <v>LB6433</v>
      </c>
      <c r="C10221" t="s">
        <v>10014</v>
      </c>
    </row>
    <row r="10222" spans="1:3" x14ac:dyDescent="0.25">
      <c r="A10222" t="str">
        <f>"0611837853100"</f>
        <v>0611837853100</v>
      </c>
      <c r="B10222" t="str">
        <f>"LK1350"</f>
        <v>LK1350</v>
      </c>
      <c r="C10222" t="s">
        <v>10015</v>
      </c>
    </row>
    <row r="10223" spans="1:3" x14ac:dyDescent="0.25">
      <c r="A10223" t="str">
        <f>"0611837854100"</f>
        <v>0611837854100</v>
      </c>
      <c r="B10223" t="str">
        <f>"LB6435"</f>
        <v>LB6435</v>
      </c>
      <c r="C10223" t="s">
        <v>10016</v>
      </c>
    </row>
    <row r="10224" spans="1:3" x14ac:dyDescent="0.25">
      <c r="A10224" t="str">
        <f>"0611863556050"</f>
        <v>0611863556050</v>
      </c>
      <c r="B10224" t="str">
        <f>"CE1494"</f>
        <v>CE1494</v>
      </c>
      <c r="C10224" t="s">
        <v>10017</v>
      </c>
    </row>
    <row r="10225" spans="1:3" x14ac:dyDescent="0.25">
      <c r="A10225" t="str">
        <f>"0611884382050"</f>
        <v>0611884382050</v>
      </c>
      <c r="B10225" t="str">
        <f>"CE1728"</f>
        <v>CE1728</v>
      </c>
      <c r="C10225" t="s">
        <v>10018</v>
      </c>
    </row>
    <row r="10226" spans="1:3" x14ac:dyDescent="0.25">
      <c r="A10226" t="str">
        <f>"0611863557050"</f>
        <v>0611863557050</v>
      </c>
      <c r="B10226" t="str">
        <f>"CE1616"</f>
        <v>CE1616</v>
      </c>
      <c r="C10226" t="s">
        <v>10019</v>
      </c>
    </row>
    <row r="10227" spans="1:3" x14ac:dyDescent="0.25">
      <c r="A10227" t="str">
        <f>"0611837856100"</f>
        <v>0611837856100</v>
      </c>
      <c r="B10227" t="str">
        <f>"LK2609"</f>
        <v>LK2609</v>
      </c>
      <c r="C10227" t="s">
        <v>10020</v>
      </c>
    </row>
    <row r="10228" spans="1:3" x14ac:dyDescent="0.25">
      <c r="A10228" t="str">
        <f>"0611837858100"</f>
        <v>0611837858100</v>
      </c>
      <c r="B10228" t="str">
        <f>"LK2348"</f>
        <v>LK2348</v>
      </c>
      <c r="C10228" t="s">
        <v>10021</v>
      </c>
    </row>
    <row r="10229" spans="1:3" x14ac:dyDescent="0.25">
      <c r="A10229" t="str">
        <f>"0611837859100"</f>
        <v>0611837859100</v>
      </c>
      <c r="B10229" t="str">
        <f>"LK6942"</f>
        <v>LK6942</v>
      </c>
      <c r="C10229" t="s">
        <v>10022</v>
      </c>
    </row>
    <row r="10230" spans="1:3" x14ac:dyDescent="0.25">
      <c r="A10230" t="str">
        <f>"0611837860100"</f>
        <v>0611837860100</v>
      </c>
      <c r="B10230" t="str">
        <f>"LK6943"</f>
        <v>LK6943</v>
      </c>
      <c r="C10230" t="s">
        <v>10023</v>
      </c>
    </row>
    <row r="10231" spans="1:3" x14ac:dyDescent="0.25">
      <c r="A10231" t="str">
        <f>"0611837861100"</f>
        <v>0611837861100</v>
      </c>
      <c r="B10231" t="str">
        <f>"LK2967"</f>
        <v>LK2967</v>
      </c>
      <c r="C10231" t="s">
        <v>10024</v>
      </c>
    </row>
    <row r="10232" spans="1:3" x14ac:dyDescent="0.25">
      <c r="A10232" t="str">
        <f>"0611837862100"</f>
        <v>0611837862100</v>
      </c>
      <c r="B10232" t="str">
        <f>"LK2968"</f>
        <v>LK2968</v>
      </c>
      <c r="C10232" t="s">
        <v>10025</v>
      </c>
    </row>
    <row r="10233" spans="1:3" x14ac:dyDescent="0.25">
      <c r="A10233" t="str">
        <f>"0611837863100"</f>
        <v>0611837863100</v>
      </c>
      <c r="B10233" t="str">
        <f>"LK6944"</f>
        <v>LK6944</v>
      </c>
      <c r="C10233" t="s">
        <v>10026</v>
      </c>
    </row>
    <row r="10234" spans="1:3" x14ac:dyDescent="0.25">
      <c r="A10234" t="str">
        <f>"0611837864100"</f>
        <v>0611837864100</v>
      </c>
      <c r="B10234" t="str">
        <f>"LK6656"</f>
        <v>LK6656</v>
      </c>
      <c r="C10234" t="s">
        <v>10027</v>
      </c>
    </row>
    <row r="10235" spans="1:3" x14ac:dyDescent="0.25">
      <c r="A10235" t="str">
        <f>"0611837865100"</f>
        <v>0611837865100</v>
      </c>
      <c r="B10235" t="str">
        <f>"LK6945"</f>
        <v>LK6945</v>
      </c>
      <c r="C10235" t="s">
        <v>10028</v>
      </c>
    </row>
    <row r="10236" spans="1:3" x14ac:dyDescent="0.25">
      <c r="A10236" t="str">
        <f>"0611837866100"</f>
        <v>0611837866100</v>
      </c>
      <c r="B10236" t="str">
        <f>"LK5525"</f>
        <v>LK5525</v>
      </c>
      <c r="C10236" t="s">
        <v>10029</v>
      </c>
    </row>
    <row r="10237" spans="1:3" x14ac:dyDescent="0.25">
      <c r="A10237" t="str">
        <f>"0611837867100"</f>
        <v>0611837867100</v>
      </c>
      <c r="B10237" t="str">
        <f>"LK2969"</f>
        <v>LK2969</v>
      </c>
      <c r="C10237" t="s">
        <v>10030</v>
      </c>
    </row>
    <row r="10238" spans="1:3" x14ac:dyDescent="0.25">
      <c r="A10238" t="str">
        <f>"0611837868100"</f>
        <v>0611837868100</v>
      </c>
      <c r="B10238" t="str">
        <f>"LK3982"</f>
        <v>LK3982</v>
      </c>
      <c r="C10238" t="s">
        <v>10031</v>
      </c>
    </row>
    <row r="10239" spans="1:3" x14ac:dyDescent="0.25">
      <c r="A10239" t="str">
        <f>"0611837869100"</f>
        <v>0611837869100</v>
      </c>
      <c r="B10239" t="str">
        <f>"LK2970"</f>
        <v>LK2970</v>
      </c>
      <c r="C10239" t="s">
        <v>10032</v>
      </c>
    </row>
    <row r="10240" spans="1:3" x14ac:dyDescent="0.25">
      <c r="A10240" t="str">
        <f>"0611837870100"</f>
        <v>0611837870100</v>
      </c>
      <c r="B10240" t="str">
        <f>"LK3983"</f>
        <v>LK3983</v>
      </c>
      <c r="C10240" t="s">
        <v>10033</v>
      </c>
    </row>
    <row r="10241" spans="1:3" x14ac:dyDescent="0.25">
      <c r="A10241" t="str">
        <f>"0611837871100"</f>
        <v>0611837871100</v>
      </c>
      <c r="B10241" t="str">
        <f>"LK6946"</f>
        <v>LK6946</v>
      </c>
      <c r="C10241" t="s">
        <v>10034</v>
      </c>
    </row>
    <row r="10242" spans="1:3" x14ac:dyDescent="0.25">
      <c r="A10242" t="str">
        <f>"0611837872100"</f>
        <v>0611837872100</v>
      </c>
      <c r="B10242" t="str">
        <f>"LK2971"</f>
        <v>LK2971</v>
      </c>
      <c r="C10242" t="s">
        <v>10035</v>
      </c>
    </row>
    <row r="10243" spans="1:3" x14ac:dyDescent="0.25">
      <c r="A10243" t="str">
        <f>"0611837873100"</f>
        <v>0611837873100</v>
      </c>
      <c r="B10243" t="str">
        <f>"LK6947"</f>
        <v>LK6947</v>
      </c>
      <c r="C10243" t="s">
        <v>10036</v>
      </c>
    </row>
    <row r="10244" spans="1:3" x14ac:dyDescent="0.25">
      <c r="A10244" t="str">
        <f>"0611837874100"</f>
        <v>0611837874100</v>
      </c>
      <c r="B10244" t="str">
        <f>"LK1340"</f>
        <v>LK1340</v>
      </c>
      <c r="C10244" t="s">
        <v>10037</v>
      </c>
    </row>
    <row r="10245" spans="1:3" x14ac:dyDescent="0.25">
      <c r="A10245" t="str">
        <f>"0611837875100"</f>
        <v>0611837875100</v>
      </c>
      <c r="B10245" t="str">
        <f>"LK6657"</f>
        <v>LK6657</v>
      </c>
      <c r="C10245" t="s">
        <v>10038</v>
      </c>
    </row>
    <row r="10246" spans="1:3" x14ac:dyDescent="0.25">
      <c r="A10246" t="str">
        <f>"0611837876100"</f>
        <v>0611837876100</v>
      </c>
      <c r="B10246" t="str">
        <f>"LK2972"</f>
        <v>LK2972</v>
      </c>
      <c r="C10246" t="s">
        <v>10039</v>
      </c>
    </row>
    <row r="10247" spans="1:3" x14ac:dyDescent="0.25">
      <c r="A10247" t="str">
        <f>"0611837879100"</f>
        <v>0611837879100</v>
      </c>
      <c r="B10247" t="str">
        <f>"LQ0459"</f>
        <v>LQ0459</v>
      </c>
      <c r="C10247" t="s">
        <v>10040</v>
      </c>
    </row>
    <row r="10248" spans="1:3" x14ac:dyDescent="0.25">
      <c r="A10248" t="str">
        <f>"0611837882100"</f>
        <v>0611837882100</v>
      </c>
      <c r="B10248" t="str">
        <f>"LQ5733"</f>
        <v>LQ5733</v>
      </c>
      <c r="C10248" t="s">
        <v>10041</v>
      </c>
    </row>
    <row r="10249" spans="1:3" x14ac:dyDescent="0.25">
      <c r="A10249" t="str">
        <f>"0611837883100"</f>
        <v>0611837883100</v>
      </c>
      <c r="B10249" t="str">
        <f>"LQ6165"</f>
        <v>LQ6165</v>
      </c>
      <c r="C10249" t="s">
        <v>10042</v>
      </c>
    </row>
    <row r="10250" spans="1:3" x14ac:dyDescent="0.25">
      <c r="A10250" t="str">
        <f>"0611837884100"</f>
        <v>0611837884100</v>
      </c>
      <c r="B10250" t="str">
        <f>"LQ6166"</f>
        <v>LQ6166</v>
      </c>
      <c r="C10250" t="s">
        <v>10043</v>
      </c>
    </row>
    <row r="10251" spans="1:3" x14ac:dyDescent="0.25">
      <c r="A10251" t="str">
        <f>"0611837886100"</f>
        <v>0611837886100</v>
      </c>
      <c r="B10251" t="str">
        <f>"LQ5462"</f>
        <v>LQ5462</v>
      </c>
      <c r="C10251" t="s">
        <v>10044</v>
      </c>
    </row>
    <row r="10252" spans="1:3" x14ac:dyDescent="0.25">
      <c r="A10252" t="str">
        <f>"0611837887100"</f>
        <v>0611837887100</v>
      </c>
      <c r="B10252" t="str">
        <f>"LQ6144"</f>
        <v>LQ6144</v>
      </c>
      <c r="C10252" t="s">
        <v>10045</v>
      </c>
    </row>
    <row r="10253" spans="1:3" x14ac:dyDescent="0.25">
      <c r="A10253" t="str">
        <f>"0611837888100"</f>
        <v>0611837888100</v>
      </c>
      <c r="B10253" t="str">
        <f>"LQ6145"</f>
        <v>LQ6145</v>
      </c>
      <c r="C10253" t="s">
        <v>10046</v>
      </c>
    </row>
    <row r="10254" spans="1:3" x14ac:dyDescent="0.25">
      <c r="A10254" t="str">
        <f>"0611837890100"</f>
        <v>0611837890100</v>
      </c>
      <c r="B10254" t="str">
        <f>"LQ5736"</f>
        <v>LQ5736</v>
      </c>
      <c r="C10254" t="s">
        <v>10047</v>
      </c>
    </row>
    <row r="10255" spans="1:3" x14ac:dyDescent="0.25">
      <c r="A10255" t="str">
        <f>"0611837891100"</f>
        <v>0611837891100</v>
      </c>
      <c r="B10255" t="str">
        <f>"LQ5464"</f>
        <v>LQ5464</v>
      </c>
      <c r="C10255" t="s">
        <v>10048</v>
      </c>
    </row>
    <row r="10256" spans="1:3" x14ac:dyDescent="0.25">
      <c r="A10256" t="str">
        <f>"0611863558050"</f>
        <v>0611863558050</v>
      </c>
      <c r="B10256" t="str">
        <f>"CE0789"</f>
        <v>CE0789</v>
      </c>
      <c r="C10256" t="s">
        <v>10049</v>
      </c>
    </row>
    <row r="10257" spans="1:3" x14ac:dyDescent="0.25">
      <c r="A10257" t="str">
        <f>"0611837892100"</f>
        <v>0611837892100</v>
      </c>
      <c r="B10257" t="str">
        <f>"LQ5737"</f>
        <v>LQ5737</v>
      </c>
      <c r="C10257" t="s">
        <v>10050</v>
      </c>
    </row>
    <row r="10258" spans="1:3" x14ac:dyDescent="0.25">
      <c r="A10258" t="str">
        <f>"0611863559050"</f>
        <v>0611863559050</v>
      </c>
      <c r="B10258" t="str">
        <f>"CE0790"</f>
        <v>CE0790</v>
      </c>
      <c r="C10258" t="s">
        <v>10051</v>
      </c>
    </row>
    <row r="10259" spans="1:3" x14ac:dyDescent="0.25">
      <c r="A10259" t="str">
        <f>"0611837893100"</f>
        <v>0611837893100</v>
      </c>
      <c r="B10259" t="str">
        <f>"LQ5465"</f>
        <v>LQ5465</v>
      </c>
      <c r="C10259" t="s">
        <v>10052</v>
      </c>
    </row>
    <row r="10260" spans="1:3" x14ac:dyDescent="0.25">
      <c r="A10260" t="str">
        <f>"0611837894100"</f>
        <v>0611837894100</v>
      </c>
      <c r="B10260" t="str">
        <f>"LQ0464"</f>
        <v>LQ0464</v>
      </c>
      <c r="C10260" t="s">
        <v>10054</v>
      </c>
    </row>
    <row r="10261" spans="1:3" x14ac:dyDescent="0.25">
      <c r="A10261" t="str">
        <f>"0611863560050"</f>
        <v>0611863560050</v>
      </c>
      <c r="B10261" t="str">
        <f>"CE0791"</f>
        <v>CE0791</v>
      </c>
      <c r="C10261" t="s">
        <v>10053</v>
      </c>
    </row>
    <row r="10262" spans="1:3" x14ac:dyDescent="0.25">
      <c r="A10262" t="str">
        <f>"0611837895100"</f>
        <v>0611837895100</v>
      </c>
      <c r="B10262" t="str">
        <f>"LK7024"</f>
        <v>LK7024</v>
      </c>
      <c r="C10262" t="s">
        <v>10055</v>
      </c>
    </row>
    <row r="10263" spans="1:3" x14ac:dyDescent="0.25">
      <c r="A10263" t="str">
        <f>"0611837896100"</f>
        <v>0611837896100</v>
      </c>
      <c r="B10263" t="str">
        <f>"LK7025"</f>
        <v>LK7025</v>
      </c>
      <c r="C10263" t="s">
        <v>10056</v>
      </c>
    </row>
    <row r="10264" spans="1:3" x14ac:dyDescent="0.25">
      <c r="A10264" t="str">
        <f>"0611837897100"</f>
        <v>0611837897100</v>
      </c>
      <c r="B10264" t="str">
        <f>"LK7026"</f>
        <v>LK7026</v>
      </c>
      <c r="C10264" t="s">
        <v>10057</v>
      </c>
    </row>
    <row r="10265" spans="1:3" x14ac:dyDescent="0.25">
      <c r="A10265" t="str">
        <f>"0611837898100"</f>
        <v>0611837898100</v>
      </c>
      <c r="B10265" t="str">
        <f>"LB6758"</f>
        <v>LB6758</v>
      </c>
      <c r="C10265" t="s">
        <v>10058</v>
      </c>
    </row>
    <row r="10266" spans="1:3" x14ac:dyDescent="0.25">
      <c r="A10266" t="str">
        <f>"0611837899100"</f>
        <v>0611837899100</v>
      </c>
      <c r="B10266" t="str">
        <f>"LB6757"</f>
        <v>LB6757</v>
      </c>
      <c r="C10266" t="s">
        <v>10059</v>
      </c>
    </row>
    <row r="10267" spans="1:3" x14ac:dyDescent="0.25">
      <c r="A10267" t="str">
        <f>"0611837900100"</f>
        <v>0611837900100</v>
      </c>
      <c r="B10267" t="str">
        <f>"LB6755"</f>
        <v>LB6755</v>
      </c>
      <c r="C10267" t="s">
        <v>10060</v>
      </c>
    </row>
    <row r="10268" spans="1:3" x14ac:dyDescent="0.25">
      <c r="A10268" t="str">
        <f>"0611837901100"</f>
        <v>0611837901100</v>
      </c>
      <c r="B10268" t="str">
        <f>"LK0896"</f>
        <v>LK0896</v>
      </c>
      <c r="C10268" t="s">
        <v>10061</v>
      </c>
    </row>
    <row r="10269" spans="1:3" x14ac:dyDescent="0.25">
      <c r="A10269" t="str">
        <f>"0611837902100"</f>
        <v>0611837902100</v>
      </c>
      <c r="B10269" t="str">
        <f>"LK6969"</f>
        <v>LK6969</v>
      </c>
      <c r="C10269" t="s">
        <v>10062</v>
      </c>
    </row>
    <row r="10270" spans="1:3" x14ac:dyDescent="0.25">
      <c r="A10270" t="str">
        <f>"0611837903100"</f>
        <v>0611837903100</v>
      </c>
      <c r="B10270" t="str">
        <f>"LK3480"</f>
        <v>LK3480</v>
      </c>
      <c r="C10270" t="s">
        <v>10063</v>
      </c>
    </row>
    <row r="10271" spans="1:3" x14ac:dyDescent="0.25">
      <c r="A10271" t="str">
        <f>"0611837904100"</f>
        <v>0611837904100</v>
      </c>
      <c r="B10271" t="str">
        <f>"LB6776"</f>
        <v>LB6776</v>
      </c>
      <c r="C10271" t="s">
        <v>10064</v>
      </c>
    </row>
    <row r="10272" spans="1:3" x14ac:dyDescent="0.25">
      <c r="A10272" t="str">
        <f>"0611837905100"</f>
        <v>0611837905100</v>
      </c>
      <c r="B10272" t="str">
        <f>"LB6591"</f>
        <v>LB6591</v>
      </c>
      <c r="C10272" t="s">
        <v>10065</v>
      </c>
    </row>
    <row r="10273" spans="1:3" x14ac:dyDescent="0.25">
      <c r="A10273" t="str">
        <f>"0611837906100"</f>
        <v>0611837906100</v>
      </c>
      <c r="B10273" t="str">
        <f>"LB6781"</f>
        <v>LB6781</v>
      </c>
      <c r="C10273" t="s">
        <v>10066</v>
      </c>
    </row>
    <row r="10274" spans="1:3" x14ac:dyDescent="0.25">
      <c r="A10274" t="str">
        <f>"0611837907100"</f>
        <v>0611837907100</v>
      </c>
      <c r="B10274" t="str">
        <f>"LK0333"</f>
        <v>LK0333</v>
      </c>
      <c r="C10274" t="s">
        <v>10067</v>
      </c>
    </row>
    <row r="10275" spans="1:3" x14ac:dyDescent="0.25">
      <c r="A10275" t="str">
        <f>"0611837908100"</f>
        <v>0611837908100</v>
      </c>
      <c r="B10275" t="str">
        <f>"LB6592"</f>
        <v>LB6592</v>
      </c>
      <c r="C10275" t="s">
        <v>10068</v>
      </c>
    </row>
    <row r="10276" spans="1:3" x14ac:dyDescent="0.25">
      <c r="A10276" t="str">
        <f>"0611837909100"</f>
        <v>0611837909100</v>
      </c>
      <c r="B10276" t="str">
        <f>"LB6323"</f>
        <v>LB6323</v>
      </c>
      <c r="C10276" t="s">
        <v>10069</v>
      </c>
    </row>
    <row r="10277" spans="1:3" x14ac:dyDescent="0.25">
      <c r="A10277" t="str">
        <f>"0611837910100"</f>
        <v>0611837910100</v>
      </c>
      <c r="B10277" t="str">
        <f>"LB6324"</f>
        <v>LB6324</v>
      </c>
      <c r="C10277" t="s">
        <v>10070</v>
      </c>
    </row>
    <row r="10278" spans="1:3" x14ac:dyDescent="0.25">
      <c r="A10278" t="str">
        <f>"0611837911100"</f>
        <v>0611837911100</v>
      </c>
      <c r="B10278" t="str">
        <f>"LB6777"</f>
        <v>LB6777</v>
      </c>
      <c r="C10278" t="s">
        <v>10071</v>
      </c>
    </row>
    <row r="10279" spans="1:3" x14ac:dyDescent="0.25">
      <c r="A10279" t="str">
        <f>"0611837912100"</f>
        <v>0611837912100</v>
      </c>
      <c r="B10279" t="str">
        <f>"LB6325"</f>
        <v>LB6325</v>
      </c>
      <c r="C10279" t="s">
        <v>10072</v>
      </c>
    </row>
    <row r="10280" spans="1:3" x14ac:dyDescent="0.25">
      <c r="A10280" t="str">
        <f>"0611837913100"</f>
        <v>0611837913100</v>
      </c>
      <c r="B10280" t="str">
        <f>"LK0334"</f>
        <v>LK0334</v>
      </c>
      <c r="C10280" t="s">
        <v>10073</v>
      </c>
    </row>
    <row r="10281" spans="1:3" x14ac:dyDescent="0.25">
      <c r="A10281" t="str">
        <f>"0611837914100"</f>
        <v>0611837914100</v>
      </c>
      <c r="B10281" t="str">
        <f>"LB6761"</f>
        <v>LB6761</v>
      </c>
      <c r="C10281" t="s">
        <v>10074</v>
      </c>
    </row>
    <row r="10282" spans="1:3" x14ac:dyDescent="0.25">
      <c r="A10282" t="str">
        <f>"0611837916100"</f>
        <v>0611837916100</v>
      </c>
      <c r="B10282" t="str">
        <f>"LB6775"</f>
        <v>LB6775</v>
      </c>
      <c r="C10282" t="s">
        <v>10075</v>
      </c>
    </row>
    <row r="10283" spans="1:3" x14ac:dyDescent="0.25">
      <c r="A10283" t="str">
        <f>"0611837917100"</f>
        <v>0611837917100</v>
      </c>
      <c r="B10283" t="str">
        <f>"LK0897"</f>
        <v>LK0897</v>
      </c>
      <c r="C10283" t="s">
        <v>10076</v>
      </c>
    </row>
    <row r="10284" spans="1:3" x14ac:dyDescent="0.25">
      <c r="A10284" t="str">
        <f>"0611837919100"</f>
        <v>0611837919100</v>
      </c>
      <c r="B10284" t="str">
        <f>"LB6631"</f>
        <v>LB6631</v>
      </c>
      <c r="C10284" t="s">
        <v>10077</v>
      </c>
    </row>
    <row r="10285" spans="1:3" x14ac:dyDescent="0.25">
      <c r="A10285" t="str">
        <f>"0611837920100"</f>
        <v>0611837920100</v>
      </c>
      <c r="B10285" t="str">
        <f>"LK7027"</f>
        <v>LK7027</v>
      </c>
      <c r="C10285" t="s">
        <v>10078</v>
      </c>
    </row>
    <row r="10286" spans="1:3" x14ac:dyDescent="0.25">
      <c r="A10286" t="str">
        <f>"0611837921100"</f>
        <v>0611837921100</v>
      </c>
      <c r="B10286" t="str">
        <f>"LB6763"</f>
        <v>LB6763</v>
      </c>
      <c r="C10286" t="s">
        <v>10079</v>
      </c>
    </row>
    <row r="10287" spans="1:3" x14ac:dyDescent="0.25">
      <c r="A10287" t="str">
        <f>"0611837922100"</f>
        <v>0611837922100</v>
      </c>
      <c r="B10287" t="str">
        <f>"LK2974"</f>
        <v>LK2974</v>
      </c>
      <c r="C10287" t="s">
        <v>10080</v>
      </c>
    </row>
    <row r="10288" spans="1:3" x14ac:dyDescent="0.25">
      <c r="A10288" t="str">
        <f>"0611837923100"</f>
        <v>0611837923100</v>
      </c>
      <c r="B10288" t="str">
        <f>"LB6765"</f>
        <v>LB6765</v>
      </c>
      <c r="C10288" t="s">
        <v>10081</v>
      </c>
    </row>
    <row r="10289" spans="1:3" x14ac:dyDescent="0.25">
      <c r="A10289" t="str">
        <f>"0611837924100"</f>
        <v>0611837924100</v>
      </c>
      <c r="B10289" t="str">
        <f>"LB6762"</f>
        <v>LB6762</v>
      </c>
      <c r="C10289" t="s">
        <v>10082</v>
      </c>
    </row>
    <row r="10290" spans="1:3" x14ac:dyDescent="0.25">
      <c r="A10290" t="str">
        <f>"0611837925100"</f>
        <v>0611837925100</v>
      </c>
      <c r="B10290" t="str">
        <f>"LK5879"</f>
        <v>LK5879</v>
      </c>
      <c r="C10290" t="s">
        <v>10083</v>
      </c>
    </row>
    <row r="10291" spans="1:3" x14ac:dyDescent="0.25">
      <c r="A10291" t="str">
        <f>"0611837926100"</f>
        <v>0611837926100</v>
      </c>
      <c r="B10291" t="str">
        <f>"LB6764"</f>
        <v>LB6764</v>
      </c>
      <c r="C10291" t="s">
        <v>10084</v>
      </c>
    </row>
    <row r="10292" spans="1:3" x14ac:dyDescent="0.25">
      <c r="A10292" t="str">
        <f>"0611837927100"</f>
        <v>0611837927100</v>
      </c>
      <c r="B10292" t="str">
        <f>"LB6759"</f>
        <v>LB6759</v>
      </c>
      <c r="C10292" t="s">
        <v>10085</v>
      </c>
    </row>
    <row r="10293" spans="1:3" x14ac:dyDescent="0.25">
      <c r="A10293" t="str">
        <f>"0611837928100"</f>
        <v>0611837928100</v>
      </c>
      <c r="B10293" t="str">
        <f>"LB6766"</f>
        <v>LB6766</v>
      </c>
      <c r="C10293" t="s">
        <v>10086</v>
      </c>
    </row>
    <row r="10294" spans="1:3" x14ac:dyDescent="0.25">
      <c r="A10294" t="str">
        <f>"0611837929100"</f>
        <v>0611837929100</v>
      </c>
      <c r="B10294" t="str">
        <f>"LK2723"</f>
        <v>LK2723</v>
      </c>
      <c r="C10294" t="s">
        <v>10087</v>
      </c>
    </row>
    <row r="10295" spans="1:3" x14ac:dyDescent="0.25">
      <c r="A10295" t="str">
        <f>"0611837930100"</f>
        <v>0611837930100</v>
      </c>
      <c r="B10295" t="str">
        <f>"LK2724"</f>
        <v>LK2724</v>
      </c>
      <c r="C10295" t="s">
        <v>10088</v>
      </c>
    </row>
    <row r="10296" spans="1:3" x14ac:dyDescent="0.25">
      <c r="A10296" t="str">
        <f>"0611837932100"</f>
        <v>0611837932100</v>
      </c>
      <c r="B10296" t="str">
        <f>"LB6768"</f>
        <v>LB6768</v>
      </c>
      <c r="C10296" t="s">
        <v>10089</v>
      </c>
    </row>
    <row r="10297" spans="1:3" x14ac:dyDescent="0.25">
      <c r="A10297" t="str">
        <f>"0611837933100"</f>
        <v>0611837933100</v>
      </c>
      <c r="B10297" t="str">
        <f>"LK1983"</f>
        <v>LK1983</v>
      </c>
      <c r="C10297" t="s">
        <v>10090</v>
      </c>
    </row>
    <row r="10298" spans="1:3" x14ac:dyDescent="0.25">
      <c r="A10298" t="str">
        <f>"0611837934100"</f>
        <v>0611837934100</v>
      </c>
      <c r="B10298" t="str">
        <f>"LK7028"</f>
        <v>LK7028</v>
      </c>
      <c r="C10298" t="s">
        <v>10091</v>
      </c>
    </row>
    <row r="10299" spans="1:3" x14ac:dyDescent="0.25">
      <c r="A10299" t="str">
        <f>"0611837935100"</f>
        <v>0611837935100</v>
      </c>
      <c r="B10299" t="str">
        <f>"LB6756"</f>
        <v>LB6756</v>
      </c>
      <c r="C10299" t="s">
        <v>10092</v>
      </c>
    </row>
    <row r="10300" spans="1:3" x14ac:dyDescent="0.25">
      <c r="A10300" t="str">
        <f>"0611837936100"</f>
        <v>0611837936100</v>
      </c>
      <c r="B10300" t="str">
        <f>"LK1984"</f>
        <v>LK1984</v>
      </c>
      <c r="C10300" t="s">
        <v>10093</v>
      </c>
    </row>
    <row r="10301" spans="1:3" x14ac:dyDescent="0.25">
      <c r="A10301" t="str">
        <f>"0611837937100"</f>
        <v>0611837937100</v>
      </c>
      <c r="B10301" t="str">
        <f>"LK3481"</f>
        <v>LK3481</v>
      </c>
      <c r="C10301" t="s">
        <v>10094</v>
      </c>
    </row>
    <row r="10302" spans="1:3" x14ac:dyDescent="0.25">
      <c r="A10302" t="str">
        <f>"0611837938100"</f>
        <v>0611837938100</v>
      </c>
      <c r="B10302" t="str">
        <f>"LB6770"</f>
        <v>LB6770</v>
      </c>
      <c r="C10302" t="s">
        <v>10095</v>
      </c>
    </row>
    <row r="10303" spans="1:3" x14ac:dyDescent="0.25">
      <c r="A10303" t="str">
        <f>"0611837939100"</f>
        <v>0611837939100</v>
      </c>
      <c r="B10303" t="str">
        <f>"LB6769"</f>
        <v>LB6769</v>
      </c>
      <c r="C10303" t="s">
        <v>10096</v>
      </c>
    </row>
    <row r="10304" spans="1:3" x14ac:dyDescent="0.25">
      <c r="A10304" t="str">
        <f>"0611837940100"</f>
        <v>0611837940100</v>
      </c>
      <c r="B10304" t="str">
        <f>"LB6774"</f>
        <v>LB6774</v>
      </c>
      <c r="C10304" t="s">
        <v>10097</v>
      </c>
    </row>
    <row r="10305" spans="1:3" x14ac:dyDescent="0.25">
      <c r="A10305" t="str">
        <f>"0611837941100"</f>
        <v>0611837941100</v>
      </c>
      <c r="B10305" t="str">
        <f>"LB6773"</f>
        <v>LB6773</v>
      </c>
      <c r="C10305" t="s">
        <v>10098</v>
      </c>
    </row>
    <row r="10306" spans="1:3" x14ac:dyDescent="0.25">
      <c r="A10306" t="str">
        <f>"0611837942100"</f>
        <v>0611837942100</v>
      </c>
      <c r="B10306" t="str">
        <f>"LB7466"</f>
        <v>LB7466</v>
      </c>
      <c r="C10306" t="s">
        <v>10099</v>
      </c>
    </row>
    <row r="10307" spans="1:3" x14ac:dyDescent="0.25">
      <c r="A10307" t="str">
        <f>"0611837943100"</f>
        <v>0611837943100</v>
      </c>
      <c r="B10307" t="str">
        <f>"LB6771"</f>
        <v>LB6771</v>
      </c>
      <c r="C10307" t="s">
        <v>10100</v>
      </c>
    </row>
    <row r="10308" spans="1:3" x14ac:dyDescent="0.25">
      <c r="A10308" t="str">
        <f>"0611837944100"</f>
        <v>0611837944100</v>
      </c>
      <c r="B10308" t="str">
        <f>"LK0898"</f>
        <v>LK0898</v>
      </c>
      <c r="C10308" t="s">
        <v>10101</v>
      </c>
    </row>
    <row r="10309" spans="1:3" x14ac:dyDescent="0.25">
      <c r="A10309" t="str">
        <f>"0611837945100"</f>
        <v>0611837945100</v>
      </c>
      <c r="B10309" t="str">
        <f>"LB6772"</f>
        <v>LB6772</v>
      </c>
      <c r="C10309" t="s">
        <v>10102</v>
      </c>
    </row>
    <row r="10310" spans="1:3" x14ac:dyDescent="0.25">
      <c r="A10310" t="str">
        <f>"0611837946100"</f>
        <v>0611837946100</v>
      </c>
      <c r="B10310" t="str">
        <f>"LB6593"</f>
        <v>LB6593</v>
      </c>
      <c r="C10310" t="s">
        <v>10103</v>
      </c>
    </row>
    <row r="10311" spans="1:3" x14ac:dyDescent="0.25">
      <c r="A10311" t="str">
        <f>"0611837947100"</f>
        <v>0611837947100</v>
      </c>
      <c r="B10311" t="str">
        <f>"LK4342"</f>
        <v>LK4342</v>
      </c>
      <c r="C10311" t="s">
        <v>10104</v>
      </c>
    </row>
    <row r="10312" spans="1:3" x14ac:dyDescent="0.25">
      <c r="A10312" t="str">
        <f>"0611837948100"</f>
        <v>0611837948100</v>
      </c>
      <c r="B10312" t="str">
        <f>"LK0911"</f>
        <v>LK0911</v>
      </c>
      <c r="C10312" t="s">
        <v>10105</v>
      </c>
    </row>
    <row r="10313" spans="1:3" x14ac:dyDescent="0.25">
      <c r="A10313" t="str">
        <f>"0611837949100"</f>
        <v>0611837949100</v>
      </c>
      <c r="B10313" t="str">
        <f>"LK0608"</f>
        <v>LK0608</v>
      </c>
      <c r="C10313" t="s">
        <v>10106</v>
      </c>
    </row>
    <row r="10314" spans="1:3" x14ac:dyDescent="0.25">
      <c r="A10314" t="str">
        <f>"0611837951100"</f>
        <v>0611837951100</v>
      </c>
      <c r="B10314" t="str">
        <f>"LK2976"</f>
        <v>LK2976</v>
      </c>
      <c r="C10314" t="s">
        <v>10107</v>
      </c>
    </row>
    <row r="10315" spans="1:3" x14ac:dyDescent="0.25">
      <c r="A10315" t="str">
        <f>"0611837953100"</f>
        <v>0611837953100</v>
      </c>
      <c r="B10315" t="str">
        <f>"LK6519"</f>
        <v>LK6519</v>
      </c>
      <c r="C10315" t="s">
        <v>10108</v>
      </c>
    </row>
    <row r="10316" spans="1:3" x14ac:dyDescent="0.25">
      <c r="A10316" t="str">
        <f>"0611863561050"</f>
        <v>0611863561050</v>
      </c>
      <c r="B10316" t="str">
        <f>"CR5005"</f>
        <v>CR5005</v>
      </c>
      <c r="C10316" t="s">
        <v>10109</v>
      </c>
    </row>
    <row r="10317" spans="1:3" x14ac:dyDescent="0.25">
      <c r="A10317" t="str">
        <f>"0611863562050"</f>
        <v>0611863562050</v>
      </c>
      <c r="B10317" t="str">
        <f>"CR3559"</f>
        <v>CR3559</v>
      </c>
      <c r="C10317" t="s">
        <v>10110</v>
      </c>
    </row>
    <row r="10318" spans="1:3" x14ac:dyDescent="0.25">
      <c r="A10318" t="str">
        <f>"0611906588050"</f>
        <v>0611906588050</v>
      </c>
      <c r="B10318" t="str">
        <f>"CR5504"</f>
        <v>CR5504</v>
      </c>
      <c r="C10318" t="s">
        <v>10111</v>
      </c>
    </row>
    <row r="10319" spans="1:3" x14ac:dyDescent="0.25">
      <c r="A10319" t="str">
        <f>"0611863563050"</f>
        <v>0611863563050</v>
      </c>
      <c r="B10319" t="str">
        <f>"CR3560"</f>
        <v>CR3560</v>
      </c>
      <c r="C10319" t="s">
        <v>10112</v>
      </c>
    </row>
    <row r="10320" spans="1:3" x14ac:dyDescent="0.25">
      <c r="A10320" t="str">
        <f>"0611863564050"</f>
        <v>0611863564050</v>
      </c>
      <c r="B10320" t="str">
        <f>"CR3561"</f>
        <v>CR3561</v>
      </c>
      <c r="C10320" t="s">
        <v>10113</v>
      </c>
    </row>
    <row r="10321" spans="1:3" x14ac:dyDescent="0.25">
      <c r="A10321" t="str">
        <f>"0611863565050"</f>
        <v>0611863565050</v>
      </c>
      <c r="B10321" t="str">
        <f>"CR3562"</f>
        <v>CR3562</v>
      </c>
      <c r="C10321" t="s">
        <v>10114</v>
      </c>
    </row>
    <row r="10322" spans="1:3" x14ac:dyDescent="0.25">
      <c r="A10322" t="str">
        <f>"0611863566050"</f>
        <v>0611863566050</v>
      </c>
      <c r="B10322" t="str">
        <f>"CR5006"</f>
        <v>CR5006</v>
      </c>
      <c r="C10322" t="s">
        <v>10115</v>
      </c>
    </row>
    <row r="10323" spans="1:3" x14ac:dyDescent="0.25">
      <c r="A10323" t="str">
        <f>"0611884383100"</f>
        <v>0611884383100</v>
      </c>
      <c r="B10323" t="str">
        <f>"LQ0981"</f>
        <v>LQ0981</v>
      </c>
      <c r="C10323" t="s">
        <v>10116</v>
      </c>
    </row>
    <row r="10324" spans="1:3" x14ac:dyDescent="0.25">
      <c r="A10324" t="str">
        <f>"0611893654050"</f>
        <v>0611893654050</v>
      </c>
      <c r="B10324" t="str">
        <f>"CE1779"</f>
        <v>CE1779</v>
      </c>
      <c r="C10324" t="s">
        <v>10117</v>
      </c>
    </row>
    <row r="10325" spans="1:3" x14ac:dyDescent="0.25">
      <c r="A10325" t="str">
        <f>"0611863567050"</f>
        <v>0611863567050</v>
      </c>
      <c r="B10325" t="str">
        <f>"CR2476"</f>
        <v>CR2476</v>
      </c>
      <c r="C10325" t="s">
        <v>10118</v>
      </c>
    </row>
    <row r="10326" spans="1:3" x14ac:dyDescent="0.25">
      <c r="A10326" t="str">
        <f>"0611863568050"</f>
        <v>0611863568050</v>
      </c>
      <c r="B10326" t="str">
        <f>"CR3734"</f>
        <v>CR3734</v>
      </c>
      <c r="C10326" t="s">
        <v>10119</v>
      </c>
    </row>
    <row r="10327" spans="1:3" x14ac:dyDescent="0.25">
      <c r="A10327" t="str">
        <f>"0611863569050"</f>
        <v>0611863569050</v>
      </c>
      <c r="B10327" t="str">
        <f>"CR2477"</f>
        <v>CR2477</v>
      </c>
      <c r="C10327" t="s">
        <v>10120</v>
      </c>
    </row>
    <row r="10328" spans="1:3" x14ac:dyDescent="0.25">
      <c r="A10328" t="str">
        <f>"0611863570050"</f>
        <v>0611863570050</v>
      </c>
      <c r="B10328" t="str">
        <f>"CR3138"</f>
        <v>CR3138</v>
      </c>
      <c r="C10328" t="s">
        <v>10121</v>
      </c>
    </row>
    <row r="10329" spans="1:3" x14ac:dyDescent="0.25">
      <c r="A10329" t="str">
        <f>"0611884384050"</f>
        <v>0611884384050</v>
      </c>
      <c r="B10329" t="str">
        <f>"CR5418"</f>
        <v>CR5418</v>
      </c>
      <c r="C10329" t="s">
        <v>10122</v>
      </c>
    </row>
    <row r="10330" spans="1:3" x14ac:dyDescent="0.25">
      <c r="A10330" t="str">
        <f>"0611863571050"</f>
        <v>0611863571050</v>
      </c>
      <c r="B10330" t="str">
        <f>"CR2741"</f>
        <v>CR2741</v>
      </c>
      <c r="C10330" t="s">
        <v>10123</v>
      </c>
    </row>
    <row r="10331" spans="1:3" x14ac:dyDescent="0.25">
      <c r="A10331" t="str">
        <f>"0611863572050"</f>
        <v>0611863572050</v>
      </c>
      <c r="B10331" t="str">
        <f>"CR3140"</f>
        <v>CR3140</v>
      </c>
      <c r="C10331" t="s">
        <v>10124</v>
      </c>
    </row>
    <row r="10332" spans="1:3" x14ac:dyDescent="0.25">
      <c r="A10332" t="str">
        <f>"0611863573050"</f>
        <v>0611863573050</v>
      </c>
      <c r="B10332" t="str">
        <f>"CR2479"</f>
        <v>CR2479</v>
      </c>
      <c r="C10332" t="s">
        <v>10125</v>
      </c>
    </row>
    <row r="10333" spans="1:3" x14ac:dyDescent="0.25">
      <c r="A10333" t="str">
        <f>"0611863574050"</f>
        <v>0611863574050</v>
      </c>
      <c r="B10333" t="str">
        <f>"CR2480"</f>
        <v>CR2480</v>
      </c>
      <c r="C10333" t="s">
        <v>10126</v>
      </c>
    </row>
    <row r="10334" spans="1:3" x14ac:dyDescent="0.25">
      <c r="A10334" t="str">
        <f>"0611837956100"</f>
        <v>0611837956100</v>
      </c>
      <c r="B10334" t="str">
        <f>"LQ0818"</f>
        <v>LQ0818</v>
      </c>
      <c r="C10334" t="s">
        <v>10127</v>
      </c>
    </row>
    <row r="10335" spans="1:3" x14ac:dyDescent="0.25">
      <c r="A10335" t="str">
        <f>"0611837960100"</f>
        <v>0611837960100</v>
      </c>
      <c r="B10335" t="str">
        <f>"LK3995"</f>
        <v>LK3995</v>
      </c>
      <c r="C10335" t="s">
        <v>10128</v>
      </c>
    </row>
    <row r="10336" spans="1:3" x14ac:dyDescent="0.25">
      <c r="A10336" t="str">
        <f>"0611837961100"</f>
        <v>0611837961100</v>
      </c>
      <c r="B10336" t="str">
        <f>"LK3996"</f>
        <v>LK3996</v>
      </c>
      <c r="C10336" t="s">
        <v>10129</v>
      </c>
    </row>
    <row r="10337" spans="1:3" x14ac:dyDescent="0.25">
      <c r="A10337" t="str">
        <f>"0611837971100"</f>
        <v>0611837971100</v>
      </c>
      <c r="B10337" t="str">
        <f>"LK6875"</f>
        <v>LK6875</v>
      </c>
      <c r="C10337" t="s">
        <v>10130</v>
      </c>
    </row>
    <row r="10338" spans="1:3" x14ac:dyDescent="0.25">
      <c r="A10338" t="str">
        <f>"0611837972100"</f>
        <v>0611837972100</v>
      </c>
      <c r="B10338" t="str">
        <f>"LK3997"</f>
        <v>LK3997</v>
      </c>
      <c r="C10338" t="s">
        <v>10131</v>
      </c>
    </row>
    <row r="10339" spans="1:3" x14ac:dyDescent="0.25">
      <c r="A10339" t="str">
        <f>"0611837973100"</f>
        <v>0611837973100</v>
      </c>
      <c r="B10339" t="str">
        <f>"LK3998"</f>
        <v>LK3998</v>
      </c>
      <c r="C10339" t="s">
        <v>10132</v>
      </c>
    </row>
    <row r="10340" spans="1:3" x14ac:dyDescent="0.25">
      <c r="A10340" t="str">
        <f>"0611837974100"</f>
        <v>0611837974100</v>
      </c>
      <c r="B10340" t="str">
        <f>"LK6118"</f>
        <v>LK6118</v>
      </c>
      <c r="C10340" t="s">
        <v>10133</v>
      </c>
    </row>
    <row r="10341" spans="1:3" x14ac:dyDescent="0.25">
      <c r="A10341" t="str">
        <f>"0611837975100"</f>
        <v>0611837975100</v>
      </c>
      <c r="B10341" t="str">
        <f>"LK4344"</f>
        <v>LK4344</v>
      </c>
      <c r="C10341" t="s">
        <v>10134</v>
      </c>
    </row>
    <row r="10342" spans="1:3" x14ac:dyDescent="0.25">
      <c r="A10342" t="str">
        <f>"0611837976100"</f>
        <v>0611837976100</v>
      </c>
      <c r="B10342" t="str">
        <f>"LK3999"</f>
        <v>LK3999</v>
      </c>
      <c r="C10342" t="s">
        <v>10135</v>
      </c>
    </row>
    <row r="10343" spans="1:3" x14ac:dyDescent="0.25">
      <c r="A10343" t="str">
        <f>"0611837977100"</f>
        <v>0611837977100</v>
      </c>
      <c r="B10343" t="str">
        <f>"LK4517"</f>
        <v>LK4517</v>
      </c>
      <c r="C10343" t="s">
        <v>10136</v>
      </c>
    </row>
    <row r="10344" spans="1:3" x14ac:dyDescent="0.25">
      <c r="A10344" t="str">
        <f>"0611837978100"</f>
        <v>0611837978100</v>
      </c>
      <c r="B10344" t="str">
        <f>"LK4518"</f>
        <v>LK4518</v>
      </c>
      <c r="C10344" t="s">
        <v>10137</v>
      </c>
    </row>
    <row r="10345" spans="1:3" x14ac:dyDescent="0.25">
      <c r="A10345" t="str">
        <f>"0611837979100"</f>
        <v>0611837979100</v>
      </c>
      <c r="B10345" t="str">
        <f>"LK4345"</f>
        <v>LK4345</v>
      </c>
      <c r="C10345" t="s">
        <v>10138</v>
      </c>
    </row>
    <row r="10346" spans="1:3" x14ac:dyDescent="0.25">
      <c r="A10346" t="str">
        <f>"0611837980100"</f>
        <v>0611837980100</v>
      </c>
      <c r="B10346" t="str">
        <f>"LK4000"</f>
        <v>LK4000</v>
      </c>
      <c r="C10346" t="s">
        <v>10139</v>
      </c>
    </row>
    <row r="10347" spans="1:3" x14ac:dyDescent="0.25">
      <c r="A10347" t="str">
        <f>"0611837981100"</f>
        <v>0611837981100</v>
      </c>
      <c r="B10347" t="str">
        <f>"LB7010"</f>
        <v>LB7010</v>
      </c>
      <c r="C10347" t="s">
        <v>10140</v>
      </c>
    </row>
    <row r="10348" spans="1:3" x14ac:dyDescent="0.25">
      <c r="A10348" t="str">
        <f>"0611837982100"</f>
        <v>0611837982100</v>
      </c>
      <c r="B10348" t="str">
        <f>"LB7011"</f>
        <v>LB7011</v>
      </c>
      <c r="C10348" t="s">
        <v>10141</v>
      </c>
    </row>
    <row r="10349" spans="1:3" x14ac:dyDescent="0.25">
      <c r="A10349" t="str">
        <f>"0611837983100"</f>
        <v>0611837983100</v>
      </c>
      <c r="B10349" t="str">
        <f>"LB7013"</f>
        <v>LB7013</v>
      </c>
      <c r="C10349" t="s">
        <v>10142</v>
      </c>
    </row>
    <row r="10350" spans="1:3" x14ac:dyDescent="0.25">
      <c r="A10350" t="str">
        <f>"0611837985100"</f>
        <v>0611837985100</v>
      </c>
      <c r="B10350" t="str">
        <f>"LS0108"</f>
        <v>LS0108</v>
      </c>
      <c r="C10350" t="s">
        <v>10149</v>
      </c>
    </row>
    <row r="10351" spans="1:3" x14ac:dyDescent="0.25">
      <c r="A10351" t="str">
        <f>"0611837986100"</f>
        <v>0611837986100</v>
      </c>
      <c r="B10351" t="str">
        <f>"LK1727"</f>
        <v>LK1727</v>
      </c>
      <c r="C10351" t="s">
        <v>10143</v>
      </c>
    </row>
    <row r="10352" spans="1:3" x14ac:dyDescent="0.25">
      <c r="A10352" t="str">
        <f>"0611863575050"</f>
        <v>0611863575050</v>
      </c>
      <c r="B10352" t="str">
        <f>"CR4865"</f>
        <v>CR4865</v>
      </c>
      <c r="C10352" t="s">
        <v>10144</v>
      </c>
    </row>
    <row r="10353" spans="1:3" x14ac:dyDescent="0.25">
      <c r="A10353" t="str">
        <f>"0611837987100"</f>
        <v>0611837987100</v>
      </c>
      <c r="B10353" t="str">
        <f>"LB7069"</f>
        <v>LB7069</v>
      </c>
      <c r="C10353" t="s">
        <v>10145</v>
      </c>
    </row>
    <row r="10354" spans="1:3" x14ac:dyDescent="0.25">
      <c r="A10354" t="str">
        <f>"0611837988100"</f>
        <v>0611837988100</v>
      </c>
      <c r="B10354" t="str">
        <f>"LK1351"</f>
        <v>LK1351</v>
      </c>
      <c r="C10354" t="s">
        <v>10146</v>
      </c>
    </row>
    <row r="10355" spans="1:3" x14ac:dyDescent="0.25">
      <c r="A10355" t="str">
        <f>"0611837989100"</f>
        <v>0611837989100</v>
      </c>
      <c r="B10355" t="str">
        <f>"LB7659"</f>
        <v>LB7659</v>
      </c>
      <c r="C10355" t="s">
        <v>10147</v>
      </c>
    </row>
    <row r="10356" spans="1:3" x14ac:dyDescent="0.25">
      <c r="A10356" t="str">
        <f>"0611863576050"</f>
        <v>0611863576050</v>
      </c>
      <c r="B10356" t="str">
        <f>"CR2140"</f>
        <v>CR2140</v>
      </c>
      <c r="C10356" t="s">
        <v>10148</v>
      </c>
    </row>
    <row r="10357" spans="1:3" x14ac:dyDescent="0.25">
      <c r="A10357" t="str">
        <f>"0611863577050"</f>
        <v>0611863577050</v>
      </c>
      <c r="B10357" t="str">
        <f>"CR2482"</f>
        <v>CR2482</v>
      </c>
      <c r="C10357" t="s">
        <v>10150</v>
      </c>
    </row>
    <row r="10358" spans="1:3" x14ac:dyDescent="0.25">
      <c r="A10358" t="str">
        <f>"0611863578050"</f>
        <v>0611863578050</v>
      </c>
      <c r="B10358" t="str">
        <f>"CR3772"</f>
        <v>CR3772</v>
      </c>
      <c r="C10358" t="s">
        <v>10151</v>
      </c>
    </row>
    <row r="10359" spans="1:3" x14ac:dyDescent="0.25">
      <c r="A10359" t="str">
        <f>"0611863579050"</f>
        <v>0611863579050</v>
      </c>
      <c r="B10359" t="str">
        <f>"CR5007"</f>
        <v>CR5007</v>
      </c>
      <c r="C10359" t="s">
        <v>10152</v>
      </c>
    </row>
    <row r="10360" spans="1:3" x14ac:dyDescent="0.25">
      <c r="A10360" t="str">
        <f>"0611863580050"</f>
        <v>0611863580050</v>
      </c>
      <c r="B10360" t="str">
        <f>"CR3903"</f>
        <v>CR3903</v>
      </c>
      <c r="C10360" t="s">
        <v>10153</v>
      </c>
    </row>
    <row r="10361" spans="1:3" x14ac:dyDescent="0.25">
      <c r="A10361" t="str">
        <f>"0611863581050"</f>
        <v>0611863581050</v>
      </c>
      <c r="B10361" t="str">
        <f>"CR4856"</f>
        <v>CR4856</v>
      </c>
      <c r="C10361" t="s">
        <v>10154</v>
      </c>
    </row>
    <row r="10362" spans="1:3" x14ac:dyDescent="0.25">
      <c r="A10362" t="str">
        <f>"0611863582050"</f>
        <v>0611863582050</v>
      </c>
      <c r="B10362" t="str">
        <f>"CR2484"</f>
        <v>CR2484</v>
      </c>
      <c r="C10362" t="s">
        <v>10155</v>
      </c>
    </row>
    <row r="10363" spans="1:3" x14ac:dyDescent="0.25">
      <c r="A10363" t="str">
        <f>"0611863584050"</f>
        <v>0611863584050</v>
      </c>
      <c r="B10363" t="str">
        <f>"CR3142"</f>
        <v>CR3142</v>
      </c>
      <c r="C10363" t="s">
        <v>10156</v>
      </c>
    </row>
    <row r="10364" spans="1:3" x14ac:dyDescent="0.25">
      <c r="A10364" t="str">
        <f>"0611863585050"</f>
        <v>0611863585050</v>
      </c>
      <c r="B10364" t="str">
        <f>"CR2742"</f>
        <v>CR2742</v>
      </c>
      <c r="C10364" t="s">
        <v>10157</v>
      </c>
    </row>
    <row r="10365" spans="1:3" x14ac:dyDescent="0.25">
      <c r="A10365" t="str">
        <f>"0611863586050"</f>
        <v>0611863586050</v>
      </c>
      <c r="B10365" t="str">
        <f>"CR2488"</f>
        <v>CR2488</v>
      </c>
      <c r="C10365" t="s">
        <v>10158</v>
      </c>
    </row>
    <row r="10366" spans="1:3" x14ac:dyDescent="0.25">
      <c r="A10366" t="str">
        <f>"0611863587050"</f>
        <v>0611863587050</v>
      </c>
      <c r="B10366" t="str">
        <f>"CR3906"</f>
        <v>CR3906</v>
      </c>
      <c r="C10366" t="s">
        <v>10159</v>
      </c>
    </row>
    <row r="10367" spans="1:3" x14ac:dyDescent="0.25">
      <c r="A10367" t="str">
        <f>"0611863588050"</f>
        <v>0611863588050</v>
      </c>
      <c r="B10367" t="str">
        <f>"CR2743"</f>
        <v>CR2743</v>
      </c>
      <c r="C10367" t="s">
        <v>10160</v>
      </c>
    </row>
    <row r="10368" spans="1:3" x14ac:dyDescent="0.25">
      <c r="A10368" t="str">
        <f>"0611863589050"</f>
        <v>0611863589050</v>
      </c>
      <c r="B10368" t="str">
        <f>"CR5042"</f>
        <v>CR5042</v>
      </c>
      <c r="C10368" t="s">
        <v>10161</v>
      </c>
    </row>
    <row r="10369" spans="1:3" x14ac:dyDescent="0.25">
      <c r="A10369" t="str">
        <f>"0611863590050"</f>
        <v>0611863590050</v>
      </c>
      <c r="B10369" t="str">
        <f>"CR3143"</f>
        <v>CR3143</v>
      </c>
      <c r="C10369" t="s">
        <v>10162</v>
      </c>
    </row>
    <row r="10370" spans="1:3" x14ac:dyDescent="0.25">
      <c r="A10370" t="str">
        <f>"0611863591050"</f>
        <v>0611863591050</v>
      </c>
      <c r="B10370" t="str">
        <f>"CR2487"</f>
        <v>CR2487</v>
      </c>
      <c r="C10370" t="s">
        <v>13931</v>
      </c>
    </row>
    <row r="10371" spans="1:3" x14ac:dyDescent="0.25">
      <c r="A10371" t="str">
        <f>"0611863592050"</f>
        <v>0611863592050</v>
      </c>
      <c r="B10371" t="str">
        <f>"CR2744"</f>
        <v>CR2744</v>
      </c>
      <c r="C10371" t="s">
        <v>10163</v>
      </c>
    </row>
    <row r="10372" spans="1:3" x14ac:dyDescent="0.25">
      <c r="A10372" t="str">
        <f>"0611863593050"</f>
        <v>0611863593050</v>
      </c>
      <c r="B10372" t="str">
        <f>"CR4773"</f>
        <v>CR4773</v>
      </c>
      <c r="C10372" t="s">
        <v>10164</v>
      </c>
    </row>
    <row r="10373" spans="1:3" x14ac:dyDescent="0.25">
      <c r="A10373" t="str">
        <f>"0611863594050"</f>
        <v>0611863594050</v>
      </c>
      <c r="B10373" t="str">
        <f>"CR3905"</f>
        <v>CR3905</v>
      </c>
      <c r="C10373" t="s">
        <v>10165</v>
      </c>
    </row>
    <row r="10374" spans="1:3" x14ac:dyDescent="0.25">
      <c r="A10374" t="str">
        <f>"0611906589050"</f>
        <v>0611906589050</v>
      </c>
      <c r="B10374" t="str">
        <f>"CR5505"</f>
        <v>CR5505</v>
      </c>
      <c r="C10374" t="s">
        <v>10166</v>
      </c>
    </row>
    <row r="10375" spans="1:3" x14ac:dyDescent="0.25">
      <c r="A10375" t="str">
        <f>"0611884385050"</f>
        <v>0611884385050</v>
      </c>
      <c r="B10375" t="str">
        <f>"CR5383"</f>
        <v>CR5383</v>
      </c>
      <c r="C10375" t="s">
        <v>10167</v>
      </c>
    </row>
    <row r="10376" spans="1:3" x14ac:dyDescent="0.25">
      <c r="A10376" t="str">
        <f>"0611884386050"</f>
        <v>0611884386050</v>
      </c>
      <c r="B10376" t="str">
        <f>"CR5394"</f>
        <v>CR5394</v>
      </c>
      <c r="C10376" t="s">
        <v>10168</v>
      </c>
    </row>
    <row r="10377" spans="1:3" x14ac:dyDescent="0.25">
      <c r="A10377" t="str">
        <f>"0611884387050"</f>
        <v>0611884387050</v>
      </c>
      <c r="B10377" t="str">
        <f>"CR5416"</f>
        <v>CR5416</v>
      </c>
      <c r="C10377" t="s">
        <v>10169</v>
      </c>
    </row>
    <row r="10378" spans="1:3" x14ac:dyDescent="0.25">
      <c r="A10378" t="str">
        <f>"0611863595050"</f>
        <v>0611863595050</v>
      </c>
      <c r="B10378" t="str">
        <f>"CR2489"</f>
        <v>CR2489</v>
      </c>
      <c r="C10378" t="s">
        <v>10170</v>
      </c>
    </row>
    <row r="10379" spans="1:3" x14ac:dyDescent="0.25">
      <c r="A10379" t="str">
        <f>"0611863596050"</f>
        <v>0611863596050</v>
      </c>
      <c r="B10379" t="str">
        <f>"CR5073"</f>
        <v>CR5073</v>
      </c>
      <c r="C10379" t="s">
        <v>10171</v>
      </c>
    </row>
    <row r="10380" spans="1:3" x14ac:dyDescent="0.25">
      <c r="A10380" t="str">
        <f>"0611863597050"</f>
        <v>0611863597050</v>
      </c>
      <c r="B10380" t="str">
        <f>"CR5008"</f>
        <v>CR5008</v>
      </c>
      <c r="C10380" t="s">
        <v>10172</v>
      </c>
    </row>
    <row r="10381" spans="1:3" x14ac:dyDescent="0.25">
      <c r="A10381" t="str">
        <f>"0611863598050"</f>
        <v>0611863598050</v>
      </c>
      <c r="B10381" t="str">
        <f>"CR2491"</f>
        <v>CR2491</v>
      </c>
      <c r="C10381" t="s">
        <v>10173</v>
      </c>
    </row>
    <row r="10382" spans="1:3" x14ac:dyDescent="0.25">
      <c r="A10382" t="str">
        <f>"0611863599050"</f>
        <v>0611863599050</v>
      </c>
      <c r="B10382" t="str">
        <f>"CR2492"</f>
        <v>CR2492</v>
      </c>
      <c r="C10382" t="s">
        <v>10174</v>
      </c>
    </row>
    <row r="10383" spans="1:3" x14ac:dyDescent="0.25">
      <c r="A10383" t="str">
        <f>"0611863600050"</f>
        <v>0611863600050</v>
      </c>
      <c r="B10383" t="str">
        <f>"CR2493"</f>
        <v>CR2493</v>
      </c>
      <c r="C10383" t="s">
        <v>10175</v>
      </c>
    </row>
    <row r="10384" spans="1:3" x14ac:dyDescent="0.25">
      <c r="A10384" t="str">
        <f>"0611863601050"</f>
        <v>0611863601050</v>
      </c>
      <c r="B10384" t="str">
        <f>"CR2494"</f>
        <v>CR2494</v>
      </c>
      <c r="C10384" t="s">
        <v>10176</v>
      </c>
    </row>
    <row r="10385" spans="1:3" x14ac:dyDescent="0.25">
      <c r="A10385" t="str">
        <f>"0611906590050"</f>
        <v>0611906590050</v>
      </c>
      <c r="B10385" t="str">
        <f>"CR5508"</f>
        <v>CR5508</v>
      </c>
      <c r="C10385" t="s">
        <v>10177</v>
      </c>
    </row>
    <row r="10386" spans="1:3" x14ac:dyDescent="0.25">
      <c r="A10386" t="str">
        <f>"0611863602050"</f>
        <v>0611863602050</v>
      </c>
      <c r="B10386" t="str">
        <f>"CR2496"</f>
        <v>CR2496</v>
      </c>
      <c r="C10386" t="s">
        <v>10178</v>
      </c>
    </row>
    <row r="10387" spans="1:3" x14ac:dyDescent="0.25">
      <c r="A10387" t="str">
        <f>"0611863603050"</f>
        <v>0611863603050</v>
      </c>
      <c r="B10387" t="str">
        <f>"CR2988"</f>
        <v>CR2988</v>
      </c>
      <c r="C10387" t="s">
        <v>10179</v>
      </c>
    </row>
    <row r="10388" spans="1:3" x14ac:dyDescent="0.25">
      <c r="A10388" t="str">
        <f>"0611863604050"</f>
        <v>0611863604050</v>
      </c>
      <c r="B10388" t="str">
        <f>"CR2497"</f>
        <v>CR2497</v>
      </c>
      <c r="C10388" t="s">
        <v>10180</v>
      </c>
    </row>
    <row r="10389" spans="1:3" x14ac:dyDescent="0.25">
      <c r="A10389" t="str">
        <f>"0611863605050"</f>
        <v>0611863605050</v>
      </c>
      <c r="B10389" t="str">
        <f>"CR2498"</f>
        <v>CR2498</v>
      </c>
      <c r="C10389" t="s">
        <v>10181</v>
      </c>
    </row>
    <row r="10390" spans="1:3" x14ac:dyDescent="0.25">
      <c r="A10390" t="str">
        <f>"0611863606050"</f>
        <v>0611863606050</v>
      </c>
      <c r="B10390" t="str">
        <f>"CR3699"</f>
        <v>CR3699</v>
      </c>
      <c r="C10390" t="s">
        <v>10182</v>
      </c>
    </row>
    <row r="10391" spans="1:3" x14ac:dyDescent="0.25">
      <c r="A10391" t="str">
        <f>"0611863607050"</f>
        <v>0611863607050</v>
      </c>
      <c r="B10391" t="str">
        <f>"CR3904"</f>
        <v>CR3904</v>
      </c>
      <c r="C10391" t="s">
        <v>10183</v>
      </c>
    </row>
    <row r="10392" spans="1:3" x14ac:dyDescent="0.25">
      <c r="A10392" t="str">
        <f>"0611838000100"</f>
        <v>0611838000100</v>
      </c>
      <c r="B10392" t="str">
        <f>"LK6716"</f>
        <v>LK6716</v>
      </c>
      <c r="C10392" t="s">
        <v>10184</v>
      </c>
    </row>
    <row r="10393" spans="1:3" x14ac:dyDescent="0.25">
      <c r="A10393" t="str">
        <f>"0611838001100"</f>
        <v>0611838001100</v>
      </c>
      <c r="B10393" t="str">
        <f>"LK5100"</f>
        <v>LK5100</v>
      </c>
      <c r="C10393" t="s">
        <v>10185</v>
      </c>
    </row>
    <row r="10394" spans="1:3" x14ac:dyDescent="0.25">
      <c r="A10394" t="str">
        <f>"0611838002100"</f>
        <v>0611838002100</v>
      </c>
      <c r="B10394" t="str">
        <f>"LK6119"</f>
        <v>LK6119</v>
      </c>
      <c r="C10394" t="s">
        <v>10186</v>
      </c>
    </row>
    <row r="10395" spans="1:3" x14ac:dyDescent="0.25">
      <c r="A10395" t="str">
        <f>"0611838003100"</f>
        <v>0611838003100</v>
      </c>
      <c r="B10395" t="str">
        <f>"LK7029"</f>
        <v>LK7029</v>
      </c>
      <c r="C10395" t="s">
        <v>10187</v>
      </c>
    </row>
    <row r="10396" spans="1:3" x14ac:dyDescent="0.25">
      <c r="A10396" t="str">
        <f>"0611838004100"</f>
        <v>0611838004100</v>
      </c>
      <c r="B10396" t="str">
        <f>"LK5101"</f>
        <v>LK5101</v>
      </c>
      <c r="C10396" t="s">
        <v>10188</v>
      </c>
    </row>
    <row r="10397" spans="1:3" x14ac:dyDescent="0.25">
      <c r="A10397" t="str">
        <f>"0611838005100"</f>
        <v>0611838005100</v>
      </c>
      <c r="B10397" t="str">
        <f>"LK5102"</f>
        <v>LK5102</v>
      </c>
      <c r="C10397" t="s">
        <v>10189</v>
      </c>
    </row>
    <row r="10398" spans="1:3" x14ac:dyDescent="0.25">
      <c r="A10398" t="str">
        <f>"0611838006100"</f>
        <v>0611838006100</v>
      </c>
      <c r="B10398" t="str">
        <f>"LK5103"</f>
        <v>LK5103</v>
      </c>
      <c r="C10398" t="s">
        <v>10190</v>
      </c>
    </row>
    <row r="10399" spans="1:3" x14ac:dyDescent="0.25">
      <c r="A10399" t="str">
        <f>"0611838007100"</f>
        <v>0611838007100</v>
      </c>
      <c r="B10399" t="str">
        <f>"LK5881"</f>
        <v>LK5881</v>
      </c>
      <c r="C10399" t="s">
        <v>10191</v>
      </c>
    </row>
    <row r="10400" spans="1:3" x14ac:dyDescent="0.25">
      <c r="A10400" t="str">
        <f>"0611838008100"</f>
        <v>0611838008100</v>
      </c>
      <c r="B10400" t="str">
        <f>"LK5104"</f>
        <v>LK5104</v>
      </c>
      <c r="C10400" t="s">
        <v>10192</v>
      </c>
    </row>
    <row r="10401" spans="1:3" x14ac:dyDescent="0.25">
      <c r="A10401" t="str">
        <f>"0611838009100"</f>
        <v>0611838009100</v>
      </c>
      <c r="B10401" t="str">
        <f>"LK5105"</f>
        <v>LK5105</v>
      </c>
      <c r="C10401" t="s">
        <v>10193</v>
      </c>
    </row>
    <row r="10402" spans="1:3" x14ac:dyDescent="0.25">
      <c r="A10402" t="str">
        <f>"0611838010100"</f>
        <v>0611838010100</v>
      </c>
      <c r="B10402" t="str">
        <f>"LK6120"</f>
        <v>LK6120</v>
      </c>
      <c r="C10402" t="s">
        <v>10194</v>
      </c>
    </row>
    <row r="10403" spans="1:3" x14ac:dyDescent="0.25">
      <c r="A10403" t="str">
        <f>"0611838011100"</f>
        <v>0611838011100</v>
      </c>
      <c r="B10403" t="str">
        <f>"LK5106"</f>
        <v>LK5106</v>
      </c>
      <c r="C10403" t="s">
        <v>10195</v>
      </c>
    </row>
    <row r="10404" spans="1:3" x14ac:dyDescent="0.25">
      <c r="A10404" t="str">
        <f>"0611838012100"</f>
        <v>0611838012100</v>
      </c>
      <c r="B10404" t="str">
        <f>"LK5107"</f>
        <v>LK5107</v>
      </c>
      <c r="C10404" t="s">
        <v>10196</v>
      </c>
    </row>
    <row r="10405" spans="1:3" x14ac:dyDescent="0.25">
      <c r="A10405" t="str">
        <f>"0611838013100"</f>
        <v>0611838013100</v>
      </c>
      <c r="B10405" t="str">
        <f>"LK5108"</f>
        <v>LK5108</v>
      </c>
      <c r="C10405" t="s">
        <v>10197</v>
      </c>
    </row>
    <row r="10406" spans="1:3" x14ac:dyDescent="0.25">
      <c r="A10406" t="str">
        <f>"0611838014100"</f>
        <v>0611838014100</v>
      </c>
      <c r="B10406" t="str">
        <f>"LK6121"</f>
        <v>LK6121</v>
      </c>
      <c r="C10406" t="s">
        <v>10198</v>
      </c>
    </row>
    <row r="10407" spans="1:3" x14ac:dyDescent="0.25">
      <c r="A10407" t="str">
        <f>"0611838015100"</f>
        <v>0611838015100</v>
      </c>
      <c r="B10407" t="str">
        <f>"LK7030"</f>
        <v>LK7030</v>
      </c>
      <c r="C10407" t="s">
        <v>10199</v>
      </c>
    </row>
    <row r="10408" spans="1:3" x14ac:dyDescent="0.25">
      <c r="A10408" t="str">
        <f>"0611838016100"</f>
        <v>0611838016100</v>
      </c>
      <c r="B10408" t="str">
        <f>"LK5109"</f>
        <v>LK5109</v>
      </c>
      <c r="C10408" t="s">
        <v>10200</v>
      </c>
    </row>
    <row r="10409" spans="1:3" x14ac:dyDescent="0.25">
      <c r="A10409" t="str">
        <f>"0611838017100"</f>
        <v>0611838017100</v>
      </c>
      <c r="B10409" t="str">
        <f>"LK5110"</f>
        <v>LK5110</v>
      </c>
      <c r="C10409" t="s">
        <v>10201</v>
      </c>
    </row>
    <row r="10410" spans="1:3" x14ac:dyDescent="0.25">
      <c r="A10410" t="str">
        <f>"0611838018100"</f>
        <v>0611838018100</v>
      </c>
      <c r="B10410" t="str">
        <f>"LK5111"</f>
        <v>LK5111</v>
      </c>
      <c r="C10410" t="s">
        <v>10202</v>
      </c>
    </row>
    <row r="10411" spans="1:3" x14ac:dyDescent="0.25">
      <c r="A10411" t="str">
        <f>"0611838019100"</f>
        <v>0611838019100</v>
      </c>
      <c r="B10411" t="str">
        <f>"LK5112"</f>
        <v>LK5112</v>
      </c>
      <c r="C10411" t="s">
        <v>10203</v>
      </c>
    </row>
    <row r="10412" spans="1:3" x14ac:dyDescent="0.25">
      <c r="A10412" t="str">
        <f>"0611838020100"</f>
        <v>0611838020100</v>
      </c>
      <c r="B10412" t="str">
        <f>"LK5113"</f>
        <v>LK5113</v>
      </c>
      <c r="C10412" t="s">
        <v>10204</v>
      </c>
    </row>
    <row r="10413" spans="1:3" x14ac:dyDescent="0.25">
      <c r="A10413" t="str">
        <f>"0611838021100"</f>
        <v>0611838021100</v>
      </c>
      <c r="B10413" t="str">
        <f>"LK5114"</f>
        <v>LK5114</v>
      </c>
      <c r="C10413" t="s">
        <v>10205</v>
      </c>
    </row>
    <row r="10414" spans="1:3" x14ac:dyDescent="0.25">
      <c r="A10414" t="str">
        <f>"0611838022100"</f>
        <v>0611838022100</v>
      </c>
      <c r="B10414" t="str">
        <f>"LK5882"</f>
        <v>LK5882</v>
      </c>
      <c r="C10414" t="s">
        <v>10206</v>
      </c>
    </row>
    <row r="10415" spans="1:3" x14ac:dyDescent="0.25">
      <c r="A10415" t="str">
        <f>"0611838023100"</f>
        <v>0611838023100</v>
      </c>
      <c r="B10415" t="str">
        <f>"LK5115"</f>
        <v>LK5115</v>
      </c>
      <c r="C10415" t="s">
        <v>10207</v>
      </c>
    </row>
    <row r="10416" spans="1:3" x14ac:dyDescent="0.25">
      <c r="A10416" t="str">
        <f>"0611838024100"</f>
        <v>0611838024100</v>
      </c>
      <c r="B10416" t="str">
        <f>"LB6436"</f>
        <v>LB6436</v>
      </c>
      <c r="C10416" t="s">
        <v>10208</v>
      </c>
    </row>
    <row r="10417" spans="1:3" x14ac:dyDescent="0.25">
      <c r="A10417" t="str">
        <f>"0611838025100"</f>
        <v>0611838025100</v>
      </c>
      <c r="B10417" t="str">
        <f>"LK5307"</f>
        <v>LK5307</v>
      </c>
      <c r="C10417" t="s">
        <v>10209</v>
      </c>
    </row>
    <row r="10418" spans="1:3" x14ac:dyDescent="0.25">
      <c r="A10418" t="str">
        <f>"0611838041100"</f>
        <v>0611838041100</v>
      </c>
      <c r="B10418" t="str">
        <f>"LQ5974"</f>
        <v>LQ5974</v>
      </c>
      <c r="C10418" t="s">
        <v>10210</v>
      </c>
    </row>
    <row r="10419" spans="1:3" x14ac:dyDescent="0.25">
      <c r="A10419" t="str">
        <f>"0611838042100"</f>
        <v>0611838042100</v>
      </c>
      <c r="B10419" t="str">
        <f>"LQ5886"</f>
        <v>LQ5886</v>
      </c>
      <c r="C10419" t="s">
        <v>10211</v>
      </c>
    </row>
    <row r="10420" spans="1:3" x14ac:dyDescent="0.25">
      <c r="A10420" t="str">
        <f>"0611838043100"</f>
        <v>0611838043100</v>
      </c>
      <c r="B10420" t="str">
        <f>"LQ6030"</f>
        <v>LQ6030</v>
      </c>
      <c r="C10420" t="s">
        <v>10212</v>
      </c>
    </row>
    <row r="10421" spans="1:3" x14ac:dyDescent="0.25">
      <c r="A10421" t="str">
        <f>"0611838044100"</f>
        <v>0611838044100</v>
      </c>
      <c r="B10421" t="str">
        <f>"LQ5975"</f>
        <v>LQ5975</v>
      </c>
      <c r="C10421" t="s">
        <v>10213</v>
      </c>
    </row>
    <row r="10422" spans="1:3" x14ac:dyDescent="0.25">
      <c r="A10422" t="str">
        <f>"0611838045100"</f>
        <v>0611838045100</v>
      </c>
      <c r="B10422" t="str">
        <f>"LQ6212"</f>
        <v>LQ6212</v>
      </c>
      <c r="C10422" t="s">
        <v>10214</v>
      </c>
    </row>
    <row r="10423" spans="1:3" x14ac:dyDescent="0.25">
      <c r="A10423" t="str">
        <f>"0611838048100"</f>
        <v>0611838048100</v>
      </c>
      <c r="B10423" t="str">
        <f>"LQ6148"</f>
        <v>LQ6148</v>
      </c>
      <c r="C10423" t="s">
        <v>10215</v>
      </c>
    </row>
    <row r="10424" spans="1:3" x14ac:dyDescent="0.25">
      <c r="A10424" t="str">
        <f>"0611838049100"</f>
        <v>0611838049100</v>
      </c>
      <c r="B10424" t="str">
        <f>"LQ5541"</f>
        <v>LQ5541</v>
      </c>
      <c r="C10424" t="s">
        <v>10216</v>
      </c>
    </row>
    <row r="10425" spans="1:3" x14ac:dyDescent="0.25">
      <c r="A10425" t="str">
        <f>"0611838050100"</f>
        <v>0611838050100</v>
      </c>
      <c r="B10425" t="str">
        <f>"LQ5542"</f>
        <v>LQ5542</v>
      </c>
      <c r="C10425" t="s">
        <v>10217</v>
      </c>
    </row>
    <row r="10426" spans="1:3" x14ac:dyDescent="0.25">
      <c r="A10426" t="str">
        <f>"0611838051100"</f>
        <v>0611838051100</v>
      </c>
      <c r="B10426" t="str">
        <f>"LQ5543"</f>
        <v>LQ5543</v>
      </c>
      <c r="C10426" t="s">
        <v>10218</v>
      </c>
    </row>
    <row r="10427" spans="1:3" x14ac:dyDescent="0.25">
      <c r="A10427" t="str">
        <f>"0611906903100"</f>
        <v>0611906903100</v>
      </c>
      <c r="B10427" t="str">
        <f>"LQ6328"</f>
        <v>LQ6328</v>
      </c>
      <c r="C10427" t="s">
        <v>10219</v>
      </c>
    </row>
    <row r="10428" spans="1:3" x14ac:dyDescent="0.25">
      <c r="A10428" t="str">
        <f>"0611838052100"</f>
        <v>0611838052100</v>
      </c>
      <c r="B10428" t="str">
        <f>"LQ5887"</f>
        <v>LQ5887</v>
      </c>
      <c r="C10428" t="s">
        <v>10220</v>
      </c>
    </row>
    <row r="10429" spans="1:3" x14ac:dyDescent="0.25">
      <c r="A10429" t="str">
        <f>"0611838053100"</f>
        <v>0611838053100</v>
      </c>
      <c r="B10429" t="str">
        <f>"LQ5978"</f>
        <v>LQ5978</v>
      </c>
      <c r="C10429" t="s">
        <v>10221</v>
      </c>
    </row>
    <row r="10430" spans="1:3" x14ac:dyDescent="0.25">
      <c r="A10430" t="str">
        <f>"0611838054100"</f>
        <v>0611838054100</v>
      </c>
      <c r="B10430" t="str">
        <f>"LQ5544"</f>
        <v>LQ5544</v>
      </c>
      <c r="C10430" t="s">
        <v>10222</v>
      </c>
    </row>
    <row r="10431" spans="1:3" x14ac:dyDescent="0.25">
      <c r="A10431" t="str">
        <f>"0611838061100"</f>
        <v>0611838061100</v>
      </c>
      <c r="B10431" t="str">
        <f>"LS0110"</f>
        <v>LS0110</v>
      </c>
      <c r="C10431" t="s">
        <v>10231</v>
      </c>
    </row>
    <row r="10432" spans="1:3" x14ac:dyDescent="0.25">
      <c r="A10432" t="str">
        <f>"0611838057100"</f>
        <v>0611838057100</v>
      </c>
      <c r="B10432" t="str">
        <f>"LS0109"</f>
        <v>LS0109</v>
      </c>
      <c r="C10432" t="s">
        <v>10223</v>
      </c>
    </row>
    <row r="10433" spans="1:3" x14ac:dyDescent="0.25">
      <c r="A10433" t="str">
        <f>"0611838055100"</f>
        <v>0611838055100</v>
      </c>
      <c r="B10433" t="str">
        <f>"LQ6246"</f>
        <v>LQ6246</v>
      </c>
      <c r="C10433" t="s">
        <v>10225</v>
      </c>
    </row>
    <row r="10434" spans="1:3" x14ac:dyDescent="0.25">
      <c r="A10434" t="str">
        <f>"0611906904100"</f>
        <v>0611906904100</v>
      </c>
      <c r="B10434" t="str">
        <f>"LQ6329"</f>
        <v>LQ6329</v>
      </c>
      <c r="C10434" t="s">
        <v>10224</v>
      </c>
    </row>
    <row r="10435" spans="1:3" x14ac:dyDescent="0.25">
      <c r="A10435" t="str">
        <f>"0611838056100"</f>
        <v>0611838056100</v>
      </c>
      <c r="B10435" t="str">
        <f>"LQ6182"</f>
        <v>LQ6182</v>
      </c>
      <c r="C10435" t="s">
        <v>10226</v>
      </c>
    </row>
    <row r="10436" spans="1:3" x14ac:dyDescent="0.25">
      <c r="A10436" t="str">
        <f>"0611838058100"</f>
        <v>0611838058100</v>
      </c>
      <c r="B10436" t="str">
        <f>"LQ6211"</f>
        <v>LQ6211</v>
      </c>
      <c r="C10436" t="s">
        <v>10227</v>
      </c>
    </row>
    <row r="10437" spans="1:3" x14ac:dyDescent="0.25">
      <c r="A10437" t="str">
        <f>"0611857072100"</f>
        <v>0611857072100</v>
      </c>
      <c r="B10437" t="str">
        <f>"LQ6274"</f>
        <v>LQ6274</v>
      </c>
      <c r="C10437" t="s">
        <v>10228</v>
      </c>
    </row>
    <row r="10438" spans="1:3" x14ac:dyDescent="0.25">
      <c r="A10438" t="str">
        <f>"0611838059100"</f>
        <v>0611838059100</v>
      </c>
      <c r="B10438" t="str">
        <f>"LK1728"</f>
        <v>LK1728</v>
      </c>
      <c r="C10438" t="s">
        <v>10229</v>
      </c>
    </row>
    <row r="10439" spans="1:3" x14ac:dyDescent="0.25">
      <c r="A10439" t="str">
        <f>"0611838060100"</f>
        <v>0611838060100</v>
      </c>
      <c r="B10439" t="str">
        <f>"LK5308"</f>
        <v>LK5308</v>
      </c>
      <c r="C10439" t="s">
        <v>10230</v>
      </c>
    </row>
    <row r="10440" spans="1:3" x14ac:dyDescent="0.25">
      <c r="A10440" t="str">
        <f>"0611838062100"</f>
        <v>0611838062100</v>
      </c>
      <c r="B10440" t="str">
        <f>"LQ3768"</f>
        <v>LQ3768</v>
      </c>
      <c r="C10440" t="s">
        <v>10232</v>
      </c>
    </row>
    <row r="10441" spans="1:3" x14ac:dyDescent="0.25">
      <c r="A10441" t="str">
        <f>"0611838063100"</f>
        <v>0611838063100</v>
      </c>
      <c r="B10441" t="str">
        <f>"LS0111"</f>
        <v>LS0111</v>
      </c>
      <c r="C10441" t="s">
        <v>10234</v>
      </c>
    </row>
    <row r="10442" spans="1:3" x14ac:dyDescent="0.25">
      <c r="A10442" t="str">
        <f>"0611838064100"</f>
        <v>0611838064100</v>
      </c>
      <c r="B10442" t="str">
        <f>"LK1729"</f>
        <v>LK1729</v>
      </c>
      <c r="C10442" t="s">
        <v>10233</v>
      </c>
    </row>
    <row r="10443" spans="1:3" x14ac:dyDescent="0.25">
      <c r="A10443" t="str">
        <f>"0611838065100"</f>
        <v>0611838065100</v>
      </c>
      <c r="B10443" t="str">
        <f>"LS0112"</f>
        <v>LS0112</v>
      </c>
      <c r="C10443" t="s">
        <v>10293</v>
      </c>
    </row>
    <row r="10444" spans="1:3" x14ac:dyDescent="0.25">
      <c r="A10444" t="str">
        <f>"0611863608050"</f>
        <v>0611863608050</v>
      </c>
      <c r="B10444" t="str">
        <f>"CE1617"</f>
        <v>CE1617</v>
      </c>
      <c r="C10444" t="s">
        <v>10235</v>
      </c>
    </row>
    <row r="10445" spans="1:3" x14ac:dyDescent="0.25">
      <c r="A10445" t="str">
        <f>"0611863609050"</f>
        <v>0611863609050</v>
      </c>
      <c r="B10445" t="str">
        <f>"CE0500"</f>
        <v>CE0500</v>
      </c>
      <c r="C10445" t="s">
        <v>10236</v>
      </c>
    </row>
    <row r="10446" spans="1:3" x14ac:dyDescent="0.25">
      <c r="A10446" t="str">
        <f>"0611863610050"</f>
        <v>0611863610050</v>
      </c>
      <c r="B10446" t="str">
        <f>"CE0793"</f>
        <v>CE0793</v>
      </c>
      <c r="C10446" t="s">
        <v>13932</v>
      </c>
    </row>
    <row r="10447" spans="1:3" x14ac:dyDescent="0.25">
      <c r="A10447" t="str">
        <f>"0611863611050"</f>
        <v>0611863611050</v>
      </c>
      <c r="B10447" t="str">
        <f>"CE0501"</f>
        <v>CE0501</v>
      </c>
      <c r="C10447" t="s">
        <v>10237</v>
      </c>
    </row>
    <row r="10448" spans="1:3" x14ac:dyDescent="0.25">
      <c r="A10448" t="str">
        <f>"0611863612050"</f>
        <v>0611863612050</v>
      </c>
      <c r="B10448" t="str">
        <f>"CE0502"</f>
        <v>CE0502</v>
      </c>
      <c r="C10448" t="s">
        <v>10238</v>
      </c>
    </row>
    <row r="10449" spans="1:3" x14ac:dyDescent="0.25">
      <c r="A10449" t="str">
        <f>"0611863613050"</f>
        <v>0611863613050</v>
      </c>
      <c r="B10449" t="str">
        <f>"CE1674"</f>
        <v>CE1674</v>
      </c>
      <c r="C10449" t="s">
        <v>10239</v>
      </c>
    </row>
    <row r="10450" spans="1:3" x14ac:dyDescent="0.25">
      <c r="A10450" t="str">
        <f>"0611863614050"</f>
        <v>0611863614050</v>
      </c>
      <c r="B10450" t="str">
        <f>"CE1238"</f>
        <v>CE1238</v>
      </c>
      <c r="C10450" t="s">
        <v>10240</v>
      </c>
    </row>
    <row r="10451" spans="1:3" x14ac:dyDescent="0.25">
      <c r="A10451" t="str">
        <f>"0611863615050"</f>
        <v>0611863615050</v>
      </c>
      <c r="B10451" t="str">
        <f>"CE1129"</f>
        <v>CE1129</v>
      </c>
      <c r="C10451" t="s">
        <v>10241</v>
      </c>
    </row>
    <row r="10452" spans="1:3" x14ac:dyDescent="0.25">
      <c r="A10452" t="str">
        <f>"0611863616050"</f>
        <v>0611863616050</v>
      </c>
      <c r="B10452" t="str">
        <f>"CE0499"</f>
        <v>CE0499</v>
      </c>
      <c r="C10452" t="s">
        <v>10243</v>
      </c>
    </row>
    <row r="10453" spans="1:3" x14ac:dyDescent="0.25">
      <c r="A10453" t="str">
        <f>"0611863617050"</f>
        <v>0611863617050</v>
      </c>
      <c r="B10453" t="str">
        <f>"CE0505"</f>
        <v>CE0505</v>
      </c>
      <c r="C10453" t="s">
        <v>10242</v>
      </c>
    </row>
    <row r="10454" spans="1:3" x14ac:dyDescent="0.25">
      <c r="A10454" t="str">
        <f>"0611863618050"</f>
        <v>0611863618050</v>
      </c>
      <c r="B10454" t="str">
        <f>"CE1618"</f>
        <v>CE1618</v>
      </c>
      <c r="C10454" t="s">
        <v>10244</v>
      </c>
    </row>
    <row r="10455" spans="1:3" x14ac:dyDescent="0.25">
      <c r="A10455" t="str">
        <f>"0611884388050"</f>
        <v>0611884388050</v>
      </c>
      <c r="B10455" t="str">
        <f>"CE1729"</f>
        <v>CE1729</v>
      </c>
      <c r="C10455" t="s">
        <v>10245</v>
      </c>
    </row>
    <row r="10456" spans="1:3" x14ac:dyDescent="0.25">
      <c r="A10456" t="str">
        <f>"0611863619050"</f>
        <v>0611863619050</v>
      </c>
      <c r="B10456" t="str">
        <f>"CE1675"</f>
        <v>CE1675</v>
      </c>
      <c r="C10456" t="s">
        <v>10246</v>
      </c>
    </row>
    <row r="10457" spans="1:3" x14ac:dyDescent="0.25">
      <c r="A10457" t="str">
        <f>"0611863621050"</f>
        <v>0611863621050</v>
      </c>
      <c r="B10457" t="str">
        <f>"CE1239"</f>
        <v>CE1239</v>
      </c>
      <c r="C10457" t="s">
        <v>10247</v>
      </c>
    </row>
    <row r="10458" spans="1:3" x14ac:dyDescent="0.25">
      <c r="A10458" t="str">
        <f>"0611863622050"</f>
        <v>0611863622050</v>
      </c>
      <c r="B10458" t="str">
        <f>"CE1676"</f>
        <v>CE1676</v>
      </c>
      <c r="C10458" t="s">
        <v>10248</v>
      </c>
    </row>
    <row r="10459" spans="1:3" x14ac:dyDescent="0.25">
      <c r="A10459" t="str">
        <f>"0611863623050"</f>
        <v>0611863623050</v>
      </c>
      <c r="B10459" t="str">
        <f>"CE1361"</f>
        <v>CE1361</v>
      </c>
      <c r="C10459" t="s">
        <v>10249</v>
      </c>
    </row>
    <row r="10460" spans="1:3" x14ac:dyDescent="0.25">
      <c r="A10460" t="str">
        <f>"0611863624050"</f>
        <v>0611863624050</v>
      </c>
      <c r="B10460" t="str">
        <f>"CE0938"</f>
        <v>CE0938</v>
      </c>
      <c r="C10460" t="s">
        <v>10250</v>
      </c>
    </row>
    <row r="10461" spans="1:3" x14ac:dyDescent="0.25">
      <c r="A10461" t="str">
        <f>"0611863625050"</f>
        <v>0611863625050</v>
      </c>
      <c r="B10461" t="str">
        <f>"CE0940"</f>
        <v>CE0940</v>
      </c>
      <c r="C10461" t="s">
        <v>10251</v>
      </c>
    </row>
    <row r="10462" spans="1:3" x14ac:dyDescent="0.25">
      <c r="A10462" t="str">
        <f>"0611863626050"</f>
        <v>0611863626050</v>
      </c>
      <c r="B10462" t="str">
        <f>"CE1200"</f>
        <v>CE1200</v>
      </c>
      <c r="C10462" t="s">
        <v>10252</v>
      </c>
    </row>
    <row r="10463" spans="1:3" x14ac:dyDescent="0.25">
      <c r="A10463" t="str">
        <f>"0611863638050"</f>
        <v>0611863638050</v>
      </c>
      <c r="B10463" t="str">
        <f>"CE1240"</f>
        <v>CE1240</v>
      </c>
      <c r="C10463" t="s">
        <v>13933</v>
      </c>
    </row>
    <row r="10464" spans="1:3" x14ac:dyDescent="0.25">
      <c r="A10464" t="str">
        <f>"0611863627050"</f>
        <v>0611863627050</v>
      </c>
      <c r="B10464" t="str">
        <f>"CE1677"</f>
        <v>CE1677</v>
      </c>
      <c r="C10464" t="s">
        <v>10253</v>
      </c>
    </row>
    <row r="10465" spans="1:3" x14ac:dyDescent="0.25">
      <c r="A10465" t="str">
        <f>"0611863628050"</f>
        <v>0611863628050</v>
      </c>
      <c r="B10465" t="str">
        <f>"CE0900"</f>
        <v>CE0900</v>
      </c>
      <c r="C10465" t="s">
        <v>10254</v>
      </c>
    </row>
    <row r="10466" spans="1:3" x14ac:dyDescent="0.25">
      <c r="A10466" t="str">
        <f>"0611863629050"</f>
        <v>0611863629050</v>
      </c>
      <c r="B10466" t="str">
        <f>"CE0880"</f>
        <v>CE0880</v>
      </c>
      <c r="C10466" t="s">
        <v>10255</v>
      </c>
    </row>
    <row r="10467" spans="1:3" x14ac:dyDescent="0.25">
      <c r="A10467" t="str">
        <f>"0611863631050"</f>
        <v>0611863631050</v>
      </c>
      <c r="B10467" t="str">
        <f>"CE1241"</f>
        <v>CE1241</v>
      </c>
      <c r="C10467" t="s">
        <v>10257</v>
      </c>
    </row>
    <row r="10468" spans="1:3" x14ac:dyDescent="0.25">
      <c r="A10468" t="str">
        <f>"0611863632050"</f>
        <v>0611863632050</v>
      </c>
      <c r="B10468" t="str">
        <f>"CE1678"</f>
        <v>CE1678</v>
      </c>
      <c r="C10468" t="s">
        <v>10258</v>
      </c>
    </row>
    <row r="10469" spans="1:3" x14ac:dyDescent="0.25">
      <c r="A10469" t="str">
        <f>"0611863633050"</f>
        <v>0611863633050</v>
      </c>
      <c r="B10469" t="str">
        <f>"CE0881"</f>
        <v>CE0881</v>
      </c>
      <c r="C10469" t="s">
        <v>10256</v>
      </c>
    </row>
    <row r="10470" spans="1:3" x14ac:dyDescent="0.25">
      <c r="A10470" t="str">
        <f>"0611863634050"</f>
        <v>0611863634050</v>
      </c>
      <c r="B10470" t="str">
        <f>"CE0882"</f>
        <v>CE0882</v>
      </c>
      <c r="C10470" t="s">
        <v>10259</v>
      </c>
    </row>
    <row r="10471" spans="1:3" x14ac:dyDescent="0.25">
      <c r="A10471" t="str">
        <f>"0611863635050"</f>
        <v>0611863635050</v>
      </c>
      <c r="B10471" t="str">
        <f>"CE0883"</f>
        <v>CE0883</v>
      </c>
      <c r="C10471" t="s">
        <v>10260</v>
      </c>
    </row>
    <row r="10472" spans="1:3" x14ac:dyDescent="0.25">
      <c r="A10472" t="str">
        <f>"0611863636050"</f>
        <v>0611863636050</v>
      </c>
      <c r="B10472" t="str">
        <f>"CE0828"</f>
        <v>CE0828</v>
      </c>
      <c r="C10472" t="s">
        <v>10261</v>
      </c>
    </row>
    <row r="10473" spans="1:3" x14ac:dyDescent="0.25">
      <c r="A10473" t="str">
        <f>"0611863637050"</f>
        <v>0611863637050</v>
      </c>
      <c r="B10473" t="str">
        <f>"CE0506"</f>
        <v>CE0506</v>
      </c>
      <c r="C10473" t="s">
        <v>10262</v>
      </c>
    </row>
    <row r="10474" spans="1:3" x14ac:dyDescent="0.25">
      <c r="A10474" t="str">
        <f>"0611863639050"</f>
        <v>0611863639050</v>
      </c>
      <c r="B10474" t="str">
        <f>"CE0508"</f>
        <v>CE0508</v>
      </c>
      <c r="C10474" t="s">
        <v>10263</v>
      </c>
    </row>
    <row r="10475" spans="1:3" x14ac:dyDescent="0.25">
      <c r="A10475" t="str">
        <f>"0611863640050"</f>
        <v>0611863640050</v>
      </c>
      <c r="B10475" t="str">
        <f>"CE0884"</f>
        <v>CE0884</v>
      </c>
      <c r="C10475" t="s">
        <v>10264</v>
      </c>
    </row>
    <row r="10476" spans="1:3" x14ac:dyDescent="0.25">
      <c r="A10476" t="str">
        <f>"0611863641050"</f>
        <v>0611863641050</v>
      </c>
      <c r="B10476" t="str">
        <f>"CE0885"</f>
        <v>CE0885</v>
      </c>
      <c r="C10476" t="s">
        <v>10265</v>
      </c>
    </row>
    <row r="10477" spans="1:3" x14ac:dyDescent="0.25">
      <c r="A10477" t="str">
        <f>"0611863642050"</f>
        <v>0611863642050</v>
      </c>
      <c r="B10477" t="str">
        <f>"CE0509"</f>
        <v>CE0509</v>
      </c>
      <c r="C10477" t="s">
        <v>10266</v>
      </c>
    </row>
    <row r="10478" spans="1:3" x14ac:dyDescent="0.25">
      <c r="A10478" t="str">
        <f>"0611863644050"</f>
        <v>0611863644050</v>
      </c>
      <c r="B10478" t="str">
        <f>"CE0511"</f>
        <v>CE0511</v>
      </c>
      <c r="C10478" t="s">
        <v>10267</v>
      </c>
    </row>
    <row r="10479" spans="1:3" x14ac:dyDescent="0.25">
      <c r="A10479" t="str">
        <f>"0611863645050"</f>
        <v>0611863645050</v>
      </c>
      <c r="B10479" t="str">
        <f>"CE0899"</f>
        <v>CE0899</v>
      </c>
      <c r="C10479" t="s">
        <v>10268</v>
      </c>
    </row>
    <row r="10480" spans="1:3" x14ac:dyDescent="0.25">
      <c r="A10480" t="str">
        <f>"0611863646050"</f>
        <v>0611863646050</v>
      </c>
      <c r="B10480" t="str">
        <f>"CE1288"</f>
        <v>CE1288</v>
      </c>
      <c r="C10480" t="s">
        <v>10269</v>
      </c>
    </row>
    <row r="10481" spans="1:3" x14ac:dyDescent="0.25">
      <c r="A10481" t="str">
        <f>"0611863647050"</f>
        <v>0611863647050</v>
      </c>
      <c r="B10481" t="str">
        <f>"CE1130"</f>
        <v>CE1130</v>
      </c>
      <c r="C10481" t="s">
        <v>10270</v>
      </c>
    </row>
    <row r="10482" spans="1:3" x14ac:dyDescent="0.25">
      <c r="A10482" t="str">
        <f>"0611863648050"</f>
        <v>0611863648050</v>
      </c>
      <c r="B10482" t="str">
        <f>"CE0516"</f>
        <v>CE0516</v>
      </c>
      <c r="C10482" t="s">
        <v>10271</v>
      </c>
    </row>
    <row r="10483" spans="1:3" x14ac:dyDescent="0.25">
      <c r="A10483" t="str">
        <f>"0611863649050"</f>
        <v>0611863649050</v>
      </c>
      <c r="B10483" t="str">
        <f>"CE0513"</f>
        <v>CE0513</v>
      </c>
      <c r="C10483" t="s">
        <v>13934</v>
      </c>
    </row>
    <row r="10484" spans="1:3" x14ac:dyDescent="0.25">
      <c r="A10484" t="str">
        <f>"0611863650050"</f>
        <v>0611863650050</v>
      </c>
      <c r="B10484" t="str">
        <f>"CE1155"</f>
        <v>CE1155</v>
      </c>
      <c r="C10484" t="s">
        <v>13935</v>
      </c>
    </row>
    <row r="10485" spans="1:3" x14ac:dyDescent="0.25">
      <c r="A10485" t="str">
        <f>"0611863651050"</f>
        <v>0611863651050</v>
      </c>
      <c r="B10485" t="str">
        <f>"CE1131"</f>
        <v>CE1131</v>
      </c>
      <c r="C10485" t="s">
        <v>10272</v>
      </c>
    </row>
    <row r="10486" spans="1:3" x14ac:dyDescent="0.25">
      <c r="A10486" t="str">
        <f>"0611838067100"</f>
        <v>0611838067100</v>
      </c>
      <c r="B10486" t="str">
        <f>"LQ6213"</f>
        <v>LQ6213</v>
      </c>
      <c r="C10486" t="s">
        <v>10273</v>
      </c>
    </row>
    <row r="10487" spans="1:3" x14ac:dyDescent="0.25">
      <c r="A10487" t="str">
        <f>"0611863652050"</f>
        <v>0611863652050</v>
      </c>
      <c r="B10487" t="str">
        <f>"CE1289"</f>
        <v>CE1289</v>
      </c>
      <c r="C10487" t="s">
        <v>10289</v>
      </c>
    </row>
    <row r="10488" spans="1:3" x14ac:dyDescent="0.25">
      <c r="A10488" t="str">
        <f>"0611863653050"</f>
        <v>0611863653050</v>
      </c>
      <c r="B10488" t="str">
        <f>"CE1679"</f>
        <v>CE1679</v>
      </c>
      <c r="C10488" t="s">
        <v>10290</v>
      </c>
    </row>
    <row r="10489" spans="1:3" x14ac:dyDescent="0.25">
      <c r="A10489" t="str">
        <f>"0611838068100"</f>
        <v>0611838068100</v>
      </c>
      <c r="B10489" t="str">
        <f>"LB6509"</f>
        <v>LB6509</v>
      </c>
      <c r="C10489" t="s">
        <v>10291</v>
      </c>
    </row>
    <row r="10490" spans="1:3" x14ac:dyDescent="0.25">
      <c r="A10490" t="str">
        <f>"0611838069100"</f>
        <v>0611838069100</v>
      </c>
      <c r="B10490" t="str">
        <f>"LK6658"</f>
        <v>LK6658</v>
      </c>
      <c r="C10490" t="s">
        <v>10292</v>
      </c>
    </row>
    <row r="10491" spans="1:3" x14ac:dyDescent="0.25">
      <c r="A10491" t="str">
        <f>"0611863656050"</f>
        <v>0611863656050</v>
      </c>
      <c r="B10491" t="str">
        <f>"CR5230"</f>
        <v>CR5230</v>
      </c>
      <c r="C10491" t="s">
        <v>10294</v>
      </c>
    </row>
    <row r="10492" spans="1:3" x14ac:dyDescent="0.25">
      <c r="A10492" t="str">
        <f>"0611863659050"</f>
        <v>0611863659050</v>
      </c>
      <c r="B10492" t="str">
        <f>"CR5233"</f>
        <v>CR5233</v>
      </c>
      <c r="C10492" t="s">
        <v>10295</v>
      </c>
    </row>
    <row r="10493" spans="1:3" x14ac:dyDescent="0.25">
      <c r="A10493" t="str">
        <f>"0611863660050"</f>
        <v>0611863660050</v>
      </c>
      <c r="B10493" t="str">
        <f>"CR5234"</f>
        <v>CR5234</v>
      </c>
      <c r="C10493" t="s">
        <v>10296</v>
      </c>
    </row>
    <row r="10494" spans="1:3" x14ac:dyDescent="0.25">
      <c r="A10494" t="str">
        <f>"0611863661050"</f>
        <v>0611863661050</v>
      </c>
      <c r="B10494" t="str">
        <f>"CR5235"</f>
        <v>CR5235</v>
      </c>
      <c r="C10494" t="s">
        <v>10297</v>
      </c>
    </row>
    <row r="10495" spans="1:3" x14ac:dyDescent="0.25">
      <c r="A10495" t="str">
        <f>"0611838070100"</f>
        <v>0611838070100</v>
      </c>
      <c r="B10495" t="str">
        <f>"LK4346"</f>
        <v>LK4346</v>
      </c>
      <c r="C10495" t="s">
        <v>10298</v>
      </c>
    </row>
    <row r="10496" spans="1:3" x14ac:dyDescent="0.25">
      <c r="A10496" t="str">
        <f>"0611838071100"</f>
        <v>0611838071100</v>
      </c>
      <c r="B10496" t="str">
        <f>"LK5116"</f>
        <v>LK5116</v>
      </c>
      <c r="C10496" t="s">
        <v>10299</v>
      </c>
    </row>
    <row r="10497" spans="1:3" x14ac:dyDescent="0.25">
      <c r="A10497" t="str">
        <f>"0611838072100"</f>
        <v>0611838072100</v>
      </c>
      <c r="B10497" t="str">
        <f>"LK4347"</f>
        <v>LK4347</v>
      </c>
      <c r="C10497" t="s">
        <v>10300</v>
      </c>
    </row>
    <row r="10498" spans="1:3" x14ac:dyDescent="0.25">
      <c r="A10498" t="str">
        <f>"0611838073100"</f>
        <v>0611838073100</v>
      </c>
      <c r="B10498" t="str">
        <f>"LK4348"</f>
        <v>LK4348</v>
      </c>
      <c r="C10498" t="s">
        <v>10301</v>
      </c>
    </row>
    <row r="10499" spans="1:3" x14ac:dyDescent="0.25">
      <c r="A10499" t="str">
        <f>"0611838074100"</f>
        <v>0611838074100</v>
      </c>
      <c r="B10499" t="str">
        <f>"LK5117"</f>
        <v>LK5117</v>
      </c>
      <c r="C10499" t="s">
        <v>10302</v>
      </c>
    </row>
    <row r="10500" spans="1:3" x14ac:dyDescent="0.25">
      <c r="A10500" t="str">
        <f>"0611838075100"</f>
        <v>0611838075100</v>
      </c>
      <c r="B10500" t="str">
        <f>"LK5600"</f>
        <v>LK5600</v>
      </c>
      <c r="C10500" t="s">
        <v>10303</v>
      </c>
    </row>
    <row r="10501" spans="1:3" x14ac:dyDescent="0.25">
      <c r="A10501" t="str">
        <f>"0611838076100"</f>
        <v>0611838076100</v>
      </c>
      <c r="B10501" t="str">
        <f>"LQ6214"</f>
        <v>LQ6214</v>
      </c>
      <c r="C10501" t="s">
        <v>10304</v>
      </c>
    </row>
    <row r="10502" spans="1:3" x14ac:dyDescent="0.25">
      <c r="A10502" t="str">
        <f>"0611838077100"</f>
        <v>0611838077100</v>
      </c>
      <c r="B10502" t="str">
        <f>"LK5318"</f>
        <v>LK5318</v>
      </c>
      <c r="C10502" t="s">
        <v>10305</v>
      </c>
    </row>
    <row r="10503" spans="1:3" x14ac:dyDescent="0.25">
      <c r="A10503" t="str">
        <f>"0611838083100"</f>
        <v>0611838083100</v>
      </c>
      <c r="B10503" t="str">
        <f>"LK6424"</f>
        <v>LK6424</v>
      </c>
      <c r="C10503" t="s">
        <v>10306</v>
      </c>
    </row>
    <row r="10504" spans="1:3" x14ac:dyDescent="0.25">
      <c r="A10504" t="str">
        <f>"0611838085100"</f>
        <v>0611838085100</v>
      </c>
      <c r="B10504" t="str">
        <f>"LK6425"</f>
        <v>LK6425</v>
      </c>
      <c r="C10504" t="s">
        <v>10307</v>
      </c>
    </row>
    <row r="10505" spans="1:3" x14ac:dyDescent="0.25">
      <c r="A10505" t="str">
        <f>"0611838084100"</f>
        <v>0611838084100</v>
      </c>
      <c r="B10505" t="str">
        <f>"LK6426"</f>
        <v>LK6426</v>
      </c>
      <c r="C10505" t="s">
        <v>10308</v>
      </c>
    </row>
    <row r="10506" spans="1:3" x14ac:dyDescent="0.25">
      <c r="A10506" t="str">
        <f>"0611838086100"</f>
        <v>0611838086100</v>
      </c>
      <c r="B10506" t="str">
        <f>"LK6427"</f>
        <v>LK6427</v>
      </c>
      <c r="C10506" t="s">
        <v>10309</v>
      </c>
    </row>
    <row r="10507" spans="1:3" x14ac:dyDescent="0.25">
      <c r="A10507" t="str">
        <f>"0611838087100"</f>
        <v>0611838087100</v>
      </c>
      <c r="B10507" t="str">
        <f>"LK6428"</f>
        <v>LK6428</v>
      </c>
      <c r="C10507" t="s">
        <v>10310</v>
      </c>
    </row>
    <row r="10508" spans="1:3" x14ac:dyDescent="0.25">
      <c r="A10508" t="str">
        <f>"0611838088100"</f>
        <v>0611838088100</v>
      </c>
      <c r="B10508" t="str">
        <f>"LK6429"</f>
        <v>LK6429</v>
      </c>
      <c r="C10508" t="s">
        <v>10311</v>
      </c>
    </row>
    <row r="10509" spans="1:3" x14ac:dyDescent="0.25">
      <c r="A10509" t="str">
        <f>"0611838089100"</f>
        <v>0611838089100</v>
      </c>
      <c r="B10509" t="str">
        <f>"LK6430"</f>
        <v>LK6430</v>
      </c>
      <c r="C10509" t="s">
        <v>10312</v>
      </c>
    </row>
    <row r="10510" spans="1:3" x14ac:dyDescent="0.25">
      <c r="A10510" t="str">
        <f>"0611857073100"</f>
        <v>0611857073100</v>
      </c>
      <c r="B10510" t="str">
        <f>"LK7100"</f>
        <v>LK7100</v>
      </c>
      <c r="C10510" t="s">
        <v>10313</v>
      </c>
    </row>
    <row r="10511" spans="1:3" x14ac:dyDescent="0.25">
      <c r="A10511" t="str">
        <f>"0611838090100"</f>
        <v>0611838090100</v>
      </c>
      <c r="B10511" t="str">
        <f>"LK6431"</f>
        <v>LK6431</v>
      </c>
      <c r="C10511" t="s">
        <v>10314</v>
      </c>
    </row>
    <row r="10512" spans="1:3" x14ac:dyDescent="0.25">
      <c r="A10512" t="str">
        <f>"0611838091100"</f>
        <v>0611838091100</v>
      </c>
      <c r="B10512" t="str">
        <f>"LK6432"</f>
        <v>LK6432</v>
      </c>
      <c r="C10512" t="s">
        <v>10315</v>
      </c>
    </row>
    <row r="10513" spans="1:3" x14ac:dyDescent="0.25">
      <c r="A10513" t="str">
        <f>"0611838092100"</f>
        <v>0611838092100</v>
      </c>
      <c r="B10513" t="str">
        <f>"LK6433"</f>
        <v>LK6433</v>
      </c>
      <c r="C10513" t="s">
        <v>10316</v>
      </c>
    </row>
    <row r="10514" spans="1:3" x14ac:dyDescent="0.25">
      <c r="A10514" t="str">
        <f>"0611838093100"</f>
        <v>0611838093100</v>
      </c>
      <c r="B10514" t="str">
        <f>"LK6437"</f>
        <v>LK6437</v>
      </c>
      <c r="C10514" t="s">
        <v>10317</v>
      </c>
    </row>
    <row r="10515" spans="1:3" x14ac:dyDescent="0.25">
      <c r="A10515" t="str">
        <f>"0611838094100"</f>
        <v>0611838094100</v>
      </c>
      <c r="B10515" t="str">
        <f>"LK6434"</f>
        <v>LK6434</v>
      </c>
      <c r="C10515" t="s">
        <v>10318</v>
      </c>
    </row>
    <row r="10516" spans="1:3" x14ac:dyDescent="0.25">
      <c r="A10516" t="str">
        <f>"0611838096100"</f>
        <v>0611838096100</v>
      </c>
      <c r="B10516" t="str">
        <f>"LK6436"</f>
        <v>LK6436</v>
      </c>
      <c r="C10516" t="s">
        <v>10319</v>
      </c>
    </row>
    <row r="10517" spans="1:3" x14ac:dyDescent="0.25">
      <c r="A10517" t="str">
        <f>"0611838097100"</f>
        <v>0611838097100</v>
      </c>
      <c r="B10517" t="str">
        <f>"LK6122"</f>
        <v>LK6122</v>
      </c>
      <c r="C10517" t="s">
        <v>10320</v>
      </c>
    </row>
    <row r="10518" spans="1:3" x14ac:dyDescent="0.25">
      <c r="A10518" t="str">
        <f>"0611838100100"</f>
        <v>0611838100100</v>
      </c>
      <c r="B10518" t="str">
        <f>"LK6438"</f>
        <v>LK6438</v>
      </c>
      <c r="C10518" t="s">
        <v>10321</v>
      </c>
    </row>
    <row r="10519" spans="1:3" x14ac:dyDescent="0.25">
      <c r="A10519" t="str">
        <f>"0611838101100"</f>
        <v>0611838101100</v>
      </c>
      <c r="B10519" t="str">
        <f>"LK6439"</f>
        <v>LK6439</v>
      </c>
      <c r="C10519" t="s">
        <v>10322</v>
      </c>
    </row>
    <row r="10520" spans="1:3" x14ac:dyDescent="0.25">
      <c r="A10520" t="str">
        <f>"0611838102100"</f>
        <v>0611838102100</v>
      </c>
      <c r="B10520" t="str">
        <f>"LK6876"</f>
        <v>LK6876</v>
      </c>
      <c r="C10520" t="s">
        <v>10323</v>
      </c>
    </row>
    <row r="10521" spans="1:3" x14ac:dyDescent="0.25">
      <c r="A10521" t="str">
        <f>"0611838103100"</f>
        <v>0611838103100</v>
      </c>
      <c r="B10521" t="str">
        <f>"LK6440"</f>
        <v>LK6440</v>
      </c>
      <c r="C10521" t="s">
        <v>10324</v>
      </c>
    </row>
    <row r="10522" spans="1:3" x14ac:dyDescent="0.25">
      <c r="A10522" t="str">
        <f>"0611838104100"</f>
        <v>0611838104100</v>
      </c>
      <c r="B10522" t="str">
        <f>"LK6441"</f>
        <v>LK6441</v>
      </c>
      <c r="C10522" t="s">
        <v>10325</v>
      </c>
    </row>
    <row r="10523" spans="1:3" x14ac:dyDescent="0.25">
      <c r="A10523" t="str">
        <f>"0611838105100"</f>
        <v>0611838105100</v>
      </c>
      <c r="B10523" t="str">
        <f>"LK6442"</f>
        <v>LK6442</v>
      </c>
      <c r="C10523" t="s">
        <v>10326</v>
      </c>
    </row>
    <row r="10524" spans="1:3" x14ac:dyDescent="0.25">
      <c r="A10524" t="str">
        <f>"0611838106100"</f>
        <v>0611838106100</v>
      </c>
      <c r="B10524" t="str">
        <f>"LK6443"</f>
        <v>LK6443</v>
      </c>
      <c r="C10524" t="s">
        <v>10327</v>
      </c>
    </row>
    <row r="10525" spans="1:3" x14ac:dyDescent="0.25">
      <c r="A10525" t="str">
        <f>"0611857074100"</f>
        <v>0611857074100</v>
      </c>
      <c r="B10525" t="str">
        <f>"LK7099"</f>
        <v>LK7099</v>
      </c>
      <c r="C10525" t="s">
        <v>10328</v>
      </c>
    </row>
    <row r="10526" spans="1:3" x14ac:dyDescent="0.25">
      <c r="A10526" t="str">
        <f>"0611838107100"</f>
        <v>0611838107100</v>
      </c>
      <c r="B10526" t="str">
        <f>"LK6444"</f>
        <v>LK6444</v>
      </c>
      <c r="C10526" t="s">
        <v>10329</v>
      </c>
    </row>
    <row r="10527" spans="1:3" x14ac:dyDescent="0.25">
      <c r="A10527" t="str">
        <f>"0611838108100"</f>
        <v>0611838108100</v>
      </c>
      <c r="B10527" t="str">
        <f>"LK6445"</f>
        <v>LK6445</v>
      </c>
      <c r="C10527" t="s">
        <v>10330</v>
      </c>
    </row>
    <row r="10528" spans="1:3" x14ac:dyDescent="0.25">
      <c r="A10528" t="str">
        <f>"0611838110100"</f>
        <v>0611838110100</v>
      </c>
      <c r="B10528" t="str">
        <f>"LK6126"</f>
        <v>LK6126</v>
      </c>
      <c r="C10528" t="s">
        <v>10331</v>
      </c>
    </row>
    <row r="10529" spans="1:3" x14ac:dyDescent="0.25">
      <c r="A10529" t="str">
        <f>"0611838125100"</f>
        <v>0611838125100</v>
      </c>
      <c r="B10529" t="str">
        <f>"LB7501"</f>
        <v>LB7501</v>
      </c>
      <c r="C10529" t="s">
        <v>10332</v>
      </c>
    </row>
    <row r="10530" spans="1:3" x14ac:dyDescent="0.25">
      <c r="A10530" t="str">
        <f>"0611838126100"</f>
        <v>0611838126100</v>
      </c>
      <c r="B10530" t="str">
        <f>"LB7673"</f>
        <v>LB7673</v>
      </c>
      <c r="C10530" t="s">
        <v>10333</v>
      </c>
    </row>
    <row r="10531" spans="1:3" x14ac:dyDescent="0.25">
      <c r="A10531" t="str">
        <f>"0611838127100"</f>
        <v>0611838127100</v>
      </c>
      <c r="B10531" t="str">
        <f>"LB7489"</f>
        <v>LB7489</v>
      </c>
      <c r="C10531" t="s">
        <v>10334</v>
      </c>
    </row>
    <row r="10532" spans="1:3" x14ac:dyDescent="0.25">
      <c r="A10532" t="str">
        <f>"0611838128100"</f>
        <v>0611838128100</v>
      </c>
      <c r="B10532" t="str">
        <f>"LB7488"</f>
        <v>LB7488</v>
      </c>
      <c r="C10532" t="s">
        <v>10335</v>
      </c>
    </row>
    <row r="10533" spans="1:3" x14ac:dyDescent="0.25">
      <c r="A10533" t="str">
        <f>"0611838129100"</f>
        <v>0611838129100</v>
      </c>
      <c r="B10533" t="str">
        <f>"LB7492"</f>
        <v>LB7492</v>
      </c>
      <c r="C10533" t="s">
        <v>10336</v>
      </c>
    </row>
    <row r="10534" spans="1:3" x14ac:dyDescent="0.25">
      <c r="A10534" t="str">
        <f>"0611838130100"</f>
        <v>0611838130100</v>
      </c>
      <c r="B10534" t="str">
        <f>"LB7494"</f>
        <v>LB7494</v>
      </c>
      <c r="C10534" t="s">
        <v>10337</v>
      </c>
    </row>
    <row r="10535" spans="1:3" x14ac:dyDescent="0.25">
      <c r="A10535" t="str">
        <f>"0611838131100"</f>
        <v>0611838131100</v>
      </c>
      <c r="B10535" t="str">
        <f>"LB7495"</f>
        <v>LB7495</v>
      </c>
      <c r="C10535" t="s">
        <v>10338</v>
      </c>
    </row>
    <row r="10536" spans="1:3" x14ac:dyDescent="0.25">
      <c r="A10536" t="str">
        <f>"0611838133100"</f>
        <v>0611838133100</v>
      </c>
      <c r="B10536" t="str">
        <f>"LB7497"</f>
        <v>LB7497</v>
      </c>
      <c r="C10536" t="s">
        <v>10339</v>
      </c>
    </row>
    <row r="10537" spans="1:3" x14ac:dyDescent="0.25">
      <c r="A10537" t="str">
        <f>"0611838134100"</f>
        <v>0611838134100</v>
      </c>
      <c r="B10537" t="str">
        <f>"LQ3283"</f>
        <v>LQ3283</v>
      </c>
      <c r="C10537" t="s">
        <v>10340</v>
      </c>
    </row>
    <row r="10538" spans="1:3" x14ac:dyDescent="0.25">
      <c r="A10538" t="str">
        <f>"0611838135100"</f>
        <v>0611838135100</v>
      </c>
      <c r="B10538" t="str">
        <f>"LQ3180"</f>
        <v>LQ3180</v>
      </c>
      <c r="C10538" t="s">
        <v>10341</v>
      </c>
    </row>
    <row r="10539" spans="1:3" x14ac:dyDescent="0.25">
      <c r="A10539" t="str">
        <f>"0611838136100"</f>
        <v>0611838136100</v>
      </c>
      <c r="B10539" t="str">
        <f>"LK5605"</f>
        <v>LK5605</v>
      </c>
      <c r="C10539" t="s">
        <v>10342</v>
      </c>
    </row>
    <row r="10540" spans="1:3" x14ac:dyDescent="0.25">
      <c r="A10540" t="str">
        <f>"0611838138100"</f>
        <v>0611838138100</v>
      </c>
      <c r="B10540" t="str">
        <f>"LQ0965"</f>
        <v>LQ0965</v>
      </c>
      <c r="C10540" t="s">
        <v>10343</v>
      </c>
    </row>
    <row r="10541" spans="1:3" x14ac:dyDescent="0.25">
      <c r="A10541" t="str">
        <f>"0611838139100"</f>
        <v>0611838139100</v>
      </c>
      <c r="B10541" t="str">
        <f>"LQ3247"</f>
        <v>LQ3247</v>
      </c>
      <c r="C10541" t="s">
        <v>10344</v>
      </c>
    </row>
    <row r="10542" spans="1:3" x14ac:dyDescent="0.25">
      <c r="A10542" t="str">
        <f>"0611838140100"</f>
        <v>0611838140100</v>
      </c>
      <c r="B10542" t="str">
        <f>"LQ3181"</f>
        <v>LQ3181</v>
      </c>
      <c r="C10542" t="s">
        <v>10345</v>
      </c>
    </row>
    <row r="10543" spans="1:3" x14ac:dyDescent="0.25">
      <c r="A10543" t="str">
        <f>"0611838141100"</f>
        <v>0611838141100</v>
      </c>
      <c r="B10543" t="str">
        <f>"LQ3248"</f>
        <v>LQ3248</v>
      </c>
      <c r="C10543" t="s">
        <v>10346</v>
      </c>
    </row>
    <row r="10544" spans="1:3" x14ac:dyDescent="0.25">
      <c r="A10544" t="str">
        <f>"0611837550100"</f>
        <v>0611837550100</v>
      </c>
      <c r="B10544" t="str">
        <f>"LQ3617"</f>
        <v>LQ3617</v>
      </c>
      <c r="C10544" t="s">
        <v>9568</v>
      </c>
    </row>
    <row r="10545" spans="1:3" x14ac:dyDescent="0.25">
      <c r="A10545" t="str">
        <f>"0611838143100"</f>
        <v>0611838143100</v>
      </c>
      <c r="B10545" t="str">
        <f>"LQ3618"</f>
        <v>LQ3618</v>
      </c>
      <c r="C10545" t="s">
        <v>10347</v>
      </c>
    </row>
    <row r="10546" spans="1:3" x14ac:dyDescent="0.25">
      <c r="A10546" t="str">
        <f>"0611837551100"</f>
        <v>0611837551100</v>
      </c>
      <c r="B10546" t="str">
        <f>"LQ3619"</f>
        <v>LQ3619</v>
      </c>
      <c r="C10546" t="s">
        <v>9569</v>
      </c>
    </row>
    <row r="10547" spans="1:3" x14ac:dyDescent="0.25">
      <c r="A10547" t="str">
        <f>"0611838144100"</f>
        <v>0611838144100</v>
      </c>
      <c r="B10547" t="str">
        <f>"LQ3620"</f>
        <v>LQ3620</v>
      </c>
      <c r="C10547" t="s">
        <v>10348</v>
      </c>
    </row>
    <row r="10548" spans="1:3" x14ac:dyDescent="0.25">
      <c r="A10548" t="str">
        <f>"0611837552100"</f>
        <v>0611837552100</v>
      </c>
      <c r="B10548" t="str">
        <f>"LQ3621"</f>
        <v>LQ3621</v>
      </c>
      <c r="C10548" t="s">
        <v>9570</v>
      </c>
    </row>
    <row r="10549" spans="1:3" x14ac:dyDescent="0.25">
      <c r="A10549" t="str">
        <f>"0611838145100"</f>
        <v>0611838145100</v>
      </c>
      <c r="B10549" t="str">
        <f>"LQ3857"</f>
        <v>LQ3857</v>
      </c>
      <c r="C10549" t="s">
        <v>10349</v>
      </c>
    </row>
    <row r="10550" spans="1:3" x14ac:dyDescent="0.25">
      <c r="A10550" t="str">
        <f>"0611838146100"</f>
        <v>0611838146100</v>
      </c>
      <c r="B10550" t="str">
        <f>"LQ3858"</f>
        <v>LQ3858</v>
      </c>
      <c r="C10550" t="s">
        <v>10350</v>
      </c>
    </row>
    <row r="10551" spans="1:3" x14ac:dyDescent="0.25">
      <c r="A10551" t="str">
        <f>"0611884389100"</f>
        <v>0611884389100</v>
      </c>
      <c r="B10551" t="str">
        <f>"LK7143"</f>
        <v>LK7143</v>
      </c>
      <c r="C10551" t="s">
        <v>10351</v>
      </c>
    </row>
    <row r="10552" spans="1:3" x14ac:dyDescent="0.25">
      <c r="A10552" t="str">
        <f>"0611838148100"</f>
        <v>0611838148100</v>
      </c>
      <c r="B10552" t="str">
        <f>"LQ3622"</f>
        <v>LQ3622</v>
      </c>
      <c r="C10552" t="s">
        <v>10353</v>
      </c>
    </row>
    <row r="10553" spans="1:3" x14ac:dyDescent="0.25">
      <c r="A10553" t="str">
        <f>"0611838147100"</f>
        <v>0611838147100</v>
      </c>
      <c r="B10553" t="str">
        <f>"LQ3859"</f>
        <v>LQ3859</v>
      </c>
      <c r="C10553" t="s">
        <v>10352</v>
      </c>
    </row>
    <row r="10554" spans="1:3" x14ac:dyDescent="0.25">
      <c r="A10554" t="str">
        <f>"0611838149100"</f>
        <v>0611838149100</v>
      </c>
      <c r="B10554" t="str">
        <f>"LQ3860"</f>
        <v>LQ3860</v>
      </c>
      <c r="C10554" t="s">
        <v>10354</v>
      </c>
    </row>
    <row r="10555" spans="1:3" x14ac:dyDescent="0.25">
      <c r="A10555" t="str">
        <f>"0611838151100"</f>
        <v>0611838151100</v>
      </c>
      <c r="B10555" t="str">
        <f>"LQ3771"</f>
        <v>LQ3771</v>
      </c>
      <c r="C10555" t="s">
        <v>10355</v>
      </c>
    </row>
    <row r="10556" spans="1:3" x14ac:dyDescent="0.25">
      <c r="A10556" t="str">
        <f>"0611838152100"</f>
        <v>0611838152100</v>
      </c>
      <c r="B10556" t="str">
        <f>"LQ3772"</f>
        <v>LQ3772</v>
      </c>
      <c r="C10556" t="s">
        <v>10356</v>
      </c>
    </row>
    <row r="10557" spans="1:3" x14ac:dyDescent="0.25">
      <c r="A10557" t="str">
        <f>"0611838154100"</f>
        <v>0611838154100</v>
      </c>
      <c r="B10557" t="str">
        <f>"LQ0966"</f>
        <v>LQ0966</v>
      </c>
      <c r="C10557" t="s">
        <v>10357</v>
      </c>
    </row>
    <row r="10558" spans="1:3" x14ac:dyDescent="0.25">
      <c r="A10558" t="str">
        <f>"0611838156100"</f>
        <v>0611838156100</v>
      </c>
      <c r="B10558" t="str">
        <f>"LQ3282"</f>
        <v>LQ3282</v>
      </c>
      <c r="C10558" t="s">
        <v>10358</v>
      </c>
    </row>
    <row r="10559" spans="1:3" x14ac:dyDescent="0.25">
      <c r="A10559" t="str">
        <f>"0611863662050"</f>
        <v>0611863662050</v>
      </c>
      <c r="B10559" t="str">
        <f>"CR3965"</f>
        <v>CR3965</v>
      </c>
      <c r="C10559" t="s">
        <v>10359</v>
      </c>
    </row>
    <row r="10560" spans="1:3" x14ac:dyDescent="0.25">
      <c r="A10560" t="str">
        <f>"0611863663050"</f>
        <v>0611863663050</v>
      </c>
      <c r="B10560" t="str">
        <f>"CR2502"</f>
        <v>CR2502</v>
      </c>
      <c r="C10560" t="s">
        <v>10360</v>
      </c>
    </row>
    <row r="10561" spans="1:3" x14ac:dyDescent="0.25">
      <c r="A10561" t="str">
        <f>"0611863664050"</f>
        <v>0611863664050</v>
      </c>
      <c r="B10561" t="str">
        <f>"CR2747"</f>
        <v>CR2747</v>
      </c>
      <c r="C10561" t="s">
        <v>10361</v>
      </c>
    </row>
    <row r="10562" spans="1:3" x14ac:dyDescent="0.25">
      <c r="A10562" t="str">
        <f>"0611863665050"</f>
        <v>0611863665050</v>
      </c>
      <c r="B10562" t="str">
        <f>"CR5009"</f>
        <v>CR5009</v>
      </c>
      <c r="C10562" t="s">
        <v>10362</v>
      </c>
    </row>
    <row r="10563" spans="1:3" x14ac:dyDescent="0.25">
      <c r="A10563" t="str">
        <f>"0611863667050"</f>
        <v>0611863667050</v>
      </c>
      <c r="B10563" t="str">
        <f>"CR3735"</f>
        <v>CR3735</v>
      </c>
      <c r="C10563" t="s">
        <v>10363</v>
      </c>
    </row>
    <row r="10564" spans="1:3" x14ac:dyDescent="0.25">
      <c r="A10564" t="str">
        <f>"0611863668050"</f>
        <v>0611863668050</v>
      </c>
      <c r="B10564" t="str">
        <f>"CR3966"</f>
        <v>CR3966</v>
      </c>
      <c r="C10564" t="s">
        <v>10364</v>
      </c>
    </row>
    <row r="10565" spans="1:3" x14ac:dyDescent="0.25">
      <c r="A10565" t="str">
        <f>"0611863669050"</f>
        <v>0611863669050</v>
      </c>
      <c r="B10565" t="str">
        <f>"CR4114"</f>
        <v>CR4114</v>
      </c>
      <c r="C10565" t="s">
        <v>10365</v>
      </c>
    </row>
    <row r="10566" spans="1:3" x14ac:dyDescent="0.25">
      <c r="A10566" t="str">
        <f>"0611863670050"</f>
        <v>0611863670050</v>
      </c>
      <c r="B10566" t="str">
        <f>"CR2506"</f>
        <v>CR2506</v>
      </c>
      <c r="C10566" t="s">
        <v>10366</v>
      </c>
    </row>
    <row r="10567" spans="1:3" x14ac:dyDescent="0.25">
      <c r="A10567" t="str">
        <f>"0611863671050"</f>
        <v>0611863671050</v>
      </c>
      <c r="B10567" t="str">
        <f>"CR3146"</f>
        <v>CR3146</v>
      </c>
      <c r="C10567" t="s">
        <v>10367</v>
      </c>
    </row>
    <row r="10568" spans="1:3" x14ac:dyDescent="0.25">
      <c r="A10568" t="str">
        <f>"0611863672050"</f>
        <v>0611863672050</v>
      </c>
      <c r="B10568" t="str">
        <f>"CR3967"</f>
        <v>CR3967</v>
      </c>
      <c r="C10568" t="s">
        <v>10368</v>
      </c>
    </row>
    <row r="10569" spans="1:3" x14ac:dyDescent="0.25">
      <c r="A10569" t="str">
        <f>"0611863673050"</f>
        <v>0611863673050</v>
      </c>
      <c r="B10569" t="str">
        <f>"CR3907"</f>
        <v>CR3907</v>
      </c>
      <c r="C10569" t="s">
        <v>10369</v>
      </c>
    </row>
    <row r="10570" spans="1:3" x14ac:dyDescent="0.25">
      <c r="A10570" t="str">
        <f>"0611863674050"</f>
        <v>0611863674050</v>
      </c>
      <c r="B10570" t="str">
        <f>"CR2914"</f>
        <v>CR2914</v>
      </c>
      <c r="C10570" t="s">
        <v>10370</v>
      </c>
    </row>
    <row r="10571" spans="1:3" x14ac:dyDescent="0.25">
      <c r="A10571" t="str">
        <f>"0611863676050"</f>
        <v>0611863676050</v>
      </c>
      <c r="B10571" t="str">
        <f>"CR3908"</f>
        <v>CR3908</v>
      </c>
      <c r="C10571" t="s">
        <v>10371</v>
      </c>
    </row>
    <row r="10572" spans="1:3" x14ac:dyDescent="0.25">
      <c r="A10572" t="str">
        <f>"0611863677050"</f>
        <v>0611863677050</v>
      </c>
      <c r="B10572" t="str">
        <f>"CR2915"</f>
        <v>CR2915</v>
      </c>
      <c r="C10572" t="s">
        <v>10372</v>
      </c>
    </row>
    <row r="10573" spans="1:3" x14ac:dyDescent="0.25">
      <c r="A10573" t="str">
        <f>"0611863678050"</f>
        <v>0611863678050</v>
      </c>
      <c r="B10573" t="str">
        <f>"CR4905"</f>
        <v>CR4905</v>
      </c>
      <c r="C10573" t="s">
        <v>10373</v>
      </c>
    </row>
    <row r="10574" spans="1:3" x14ac:dyDescent="0.25">
      <c r="A10574" t="str">
        <f>"0611863679050"</f>
        <v>0611863679050</v>
      </c>
      <c r="B10574" t="str">
        <f>"CR2503"</f>
        <v>CR2503</v>
      </c>
      <c r="C10574" t="s">
        <v>10374</v>
      </c>
    </row>
    <row r="10575" spans="1:3" x14ac:dyDescent="0.25">
      <c r="A10575" t="str">
        <f>"0611863680050"</f>
        <v>0611863680050</v>
      </c>
      <c r="B10575" t="str">
        <f>"CR3909"</f>
        <v>CR3909</v>
      </c>
      <c r="C10575" t="s">
        <v>10375</v>
      </c>
    </row>
    <row r="10576" spans="1:3" x14ac:dyDescent="0.25">
      <c r="A10576" t="str">
        <f>"0611863681050"</f>
        <v>0611863681050</v>
      </c>
      <c r="B10576" t="str">
        <f>"CR2504"</f>
        <v>CR2504</v>
      </c>
      <c r="C10576" t="s">
        <v>10376</v>
      </c>
    </row>
    <row r="10577" spans="1:3" x14ac:dyDescent="0.25">
      <c r="A10577" t="str">
        <f>"0611863682050"</f>
        <v>0611863682050</v>
      </c>
      <c r="B10577" t="str">
        <f>"CR2749"</f>
        <v>CR2749</v>
      </c>
      <c r="C10577" t="s">
        <v>10377</v>
      </c>
    </row>
    <row r="10578" spans="1:3" x14ac:dyDescent="0.25">
      <c r="A10578" t="str">
        <f>"0611863683050"</f>
        <v>0611863683050</v>
      </c>
      <c r="B10578" t="str">
        <f>"CR4858"</f>
        <v>CR4858</v>
      </c>
      <c r="C10578" t="s">
        <v>10378</v>
      </c>
    </row>
    <row r="10579" spans="1:3" x14ac:dyDescent="0.25">
      <c r="A10579" t="str">
        <f>"0611863684050"</f>
        <v>0611863684050</v>
      </c>
      <c r="B10579" t="str">
        <f>"CR4115"</f>
        <v>CR4115</v>
      </c>
      <c r="C10579" t="s">
        <v>10379</v>
      </c>
    </row>
    <row r="10580" spans="1:3" x14ac:dyDescent="0.25">
      <c r="A10580" t="str">
        <f>"0611863685050"</f>
        <v>0611863685050</v>
      </c>
      <c r="B10580" t="str">
        <f>"CR2750"</f>
        <v>CR2750</v>
      </c>
      <c r="C10580" t="s">
        <v>13936</v>
      </c>
    </row>
    <row r="10581" spans="1:3" x14ac:dyDescent="0.25">
      <c r="A10581" t="str">
        <f>"0611863686050"</f>
        <v>0611863686050</v>
      </c>
      <c r="B10581" t="str">
        <f>"CR2989"</f>
        <v>CR2989</v>
      </c>
      <c r="C10581" t="s">
        <v>10380</v>
      </c>
    </row>
    <row r="10582" spans="1:3" x14ac:dyDescent="0.25">
      <c r="A10582" t="str">
        <f>"0611863687050"</f>
        <v>0611863687050</v>
      </c>
      <c r="B10582" t="str">
        <f>"CR3149"</f>
        <v>CR3149</v>
      </c>
      <c r="C10582" t="s">
        <v>10381</v>
      </c>
    </row>
    <row r="10583" spans="1:3" x14ac:dyDescent="0.25">
      <c r="A10583" t="str">
        <f>"0611863688050"</f>
        <v>0611863688050</v>
      </c>
      <c r="B10583" t="str">
        <f>"CR3910"</f>
        <v>CR3910</v>
      </c>
      <c r="C10583" t="s">
        <v>10382</v>
      </c>
    </row>
    <row r="10584" spans="1:3" x14ac:dyDescent="0.25">
      <c r="A10584" t="str">
        <f>"0611863689050"</f>
        <v>0611863689050</v>
      </c>
      <c r="B10584" t="str">
        <f>"CR5010"</f>
        <v>CR5010</v>
      </c>
      <c r="C10584" t="s">
        <v>10383</v>
      </c>
    </row>
    <row r="10585" spans="1:3" x14ac:dyDescent="0.25">
      <c r="A10585" t="str">
        <f>"0611863690050"</f>
        <v>0611863690050</v>
      </c>
      <c r="B10585" t="str">
        <f>"CR2917"</f>
        <v>CR2917</v>
      </c>
      <c r="C10585" t="s">
        <v>10384</v>
      </c>
    </row>
    <row r="10586" spans="1:3" x14ac:dyDescent="0.25">
      <c r="A10586" t="str">
        <f>"0611863691050"</f>
        <v>0611863691050</v>
      </c>
      <c r="B10586" t="str">
        <f>"CR4861"</f>
        <v>CR4861</v>
      </c>
      <c r="C10586" t="s">
        <v>10385</v>
      </c>
    </row>
    <row r="10587" spans="1:3" x14ac:dyDescent="0.25">
      <c r="A10587" t="str">
        <f>"0611863692050"</f>
        <v>0611863692050</v>
      </c>
      <c r="B10587" t="str">
        <f>"CR4860"</f>
        <v>CR4860</v>
      </c>
      <c r="C10587" t="s">
        <v>10386</v>
      </c>
    </row>
    <row r="10588" spans="1:3" x14ac:dyDescent="0.25">
      <c r="A10588" t="str">
        <f>"0611863693050"</f>
        <v>0611863693050</v>
      </c>
      <c r="B10588" t="str">
        <f>"CR4864"</f>
        <v>CR4864</v>
      </c>
      <c r="C10588" t="s">
        <v>10387</v>
      </c>
    </row>
    <row r="10589" spans="1:3" x14ac:dyDescent="0.25">
      <c r="A10589" t="str">
        <f>"0611863694050"</f>
        <v>0611863694050</v>
      </c>
      <c r="B10589" t="str">
        <f>"CR4859"</f>
        <v>CR4859</v>
      </c>
      <c r="C10589" t="s">
        <v>10388</v>
      </c>
    </row>
    <row r="10590" spans="1:3" x14ac:dyDescent="0.25">
      <c r="A10590" t="str">
        <f>"0611863695050"</f>
        <v>0611863695050</v>
      </c>
      <c r="B10590" t="str">
        <f>"CR4862"</f>
        <v>CR4862</v>
      </c>
      <c r="C10590" t="s">
        <v>10389</v>
      </c>
    </row>
    <row r="10591" spans="1:3" x14ac:dyDescent="0.25">
      <c r="A10591" t="str">
        <f>"0611863696050"</f>
        <v>0611863696050</v>
      </c>
      <c r="B10591" t="str">
        <f>"CR3911"</f>
        <v>CR3911</v>
      </c>
      <c r="C10591" t="s">
        <v>10390</v>
      </c>
    </row>
    <row r="10592" spans="1:3" x14ac:dyDescent="0.25">
      <c r="A10592" t="str">
        <f>"0611863697050"</f>
        <v>0611863697050</v>
      </c>
      <c r="B10592" t="str">
        <f>"CR4116"</f>
        <v>CR4116</v>
      </c>
      <c r="C10592" t="s">
        <v>10391</v>
      </c>
    </row>
    <row r="10593" spans="1:3" x14ac:dyDescent="0.25">
      <c r="A10593" t="str">
        <f>"0611863698050"</f>
        <v>0611863698050</v>
      </c>
      <c r="B10593" t="str">
        <f>"CR4117"</f>
        <v>CR4117</v>
      </c>
      <c r="C10593" t="s">
        <v>10392</v>
      </c>
    </row>
    <row r="10594" spans="1:3" x14ac:dyDescent="0.25">
      <c r="A10594" t="str">
        <f>"0611863699050"</f>
        <v>0611863699050</v>
      </c>
      <c r="B10594" t="str">
        <f>"CR2751"</f>
        <v>CR2751</v>
      </c>
      <c r="C10594" t="s">
        <v>10393</v>
      </c>
    </row>
    <row r="10595" spans="1:3" x14ac:dyDescent="0.25">
      <c r="A10595" t="str">
        <f>"0611863700050"</f>
        <v>0611863700050</v>
      </c>
      <c r="B10595" t="str">
        <f>"CR2928"</f>
        <v>CR2928</v>
      </c>
      <c r="C10595" t="s">
        <v>10394</v>
      </c>
    </row>
    <row r="10596" spans="1:3" x14ac:dyDescent="0.25">
      <c r="A10596" t="str">
        <f>"0611863701050"</f>
        <v>0611863701050</v>
      </c>
      <c r="B10596" t="str">
        <f>"CR2505"</f>
        <v>CR2505</v>
      </c>
      <c r="C10596" t="s">
        <v>10395</v>
      </c>
    </row>
    <row r="10597" spans="1:3" x14ac:dyDescent="0.25">
      <c r="A10597" t="str">
        <f>"0611863703050"</f>
        <v>0611863703050</v>
      </c>
      <c r="B10597" t="str">
        <f>"CR2508"</f>
        <v>CR2508</v>
      </c>
      <c r="C10597" t="s">
        <v>10396</v>
      </c>
    </row>
    <row r="10598" spans="1:3" x14ac:dyDescent="0.25">
      <c r="A10598" t="str">
        <f>"0611863704050"</f>
        <v>0611863704050</v>
      </c>
      <c r="B10598" t="str">
        <f>"CR2509"</f>
        <v>CR2509</v>
      </c>
      <c r="C10598" t="s">
        <v>10397</v>
      </c>
    </row>
    <row r="10599" spans="1:3" x14ac:dyDescent="0.25">
      <c r="A10599" t="str">
        <f>"0611863705050"</f>
        <v>0611863705050</v>
      </c>
      <c r="B10599" t="str">
        <f>"CR2510"</f>
        <v>CR2510</v>
      </c>
      <c r="C10599" t="s">
        <v>10398</v>
      </c>
    </row>
    <row r="10600" spans="1:3" x14ac:dyDescent="0.25">
      <c r="A10600" t="str">
        <f>"0611863706050"</f>
        <v>0611863706050</v>
      </c>
      <c r="B10600" t="str">
        <f>"CR3736"</f>
        <v>CR3736</v>
      </c>
      <c r="C10600" t="s">
        <v>10399</v>
      </c>
    </row>
    <row r="10601" spans="1:3" x14ac:dyDescent="0.25">
      <c r="A10601" t="str">
        <f>"0611863707050"</f>
        <v>0611863707050</v>
      </c>
      <c r="B10601" t="str">
        <f>"CR3912"</f>
        <v>CR3912</v>
      </c>
      <c r="C10601" t="s">
        <v>10400</v>
      </c>
    </row>
    <row r="10602" spans="1:3" x14ac:dyDescent="0.25">
      <c r="A10602" t="str">
        <f>"0611863708050"</f>
        <v>0611863708050</v>
      </c>
      <c r="B10602" t="str">
        <f>"CR2511"</f>
        <v>CR2511</v>
      </c>
      <c r="C10602" t="s">
        <v>10401</v>
      </c>
    </row>
    <row r="10603" spans="1:3" x14ac:dyDescent="0.25">
      <c r="A10603" t="str">
        <f>"0611863709050"</f>
        <v>0611863709050</v>
      </c>
      <c r="B10603" t="str">
        <f>"CR2753"</f>
        <v>CR2753</v>
      </c>
      <c r="C10603" t="s">
        <v>10402</v>
      </c>
    </row>
    <row r="10604" spans="1:3" x14ac:dyDescent="0.25">
      <c r="A10604" t="str">
        <f>"0611863710050"</f>
        <v>0611863710050</v>
      </c>
      <c r="B10604" t="str">
        <f>"CR2929"</f>
        <v>CR2929</v>
      </c>
      <c r="C10604" t="s">
        <v>10403</v>
      </c>
    </row>
    <row r="10605" spans="1:3" x14ac:dyDescent="0.25">
      <c r="A10605" t="str">
        <f>"0611863711050"</f>
        <v>0611863711050</v>
      </c>
      <c r="B10605" t="str">
        <f>"CR2512"</f>
        <v>CR2512</v>
      </c>
      <c r="C10605" t="s">
        <v>10404</v>
      </c>
    </row>
    <row r="10606" spans="1:3" x14ac:dyDescent="0.25">
      <c r="A10606" t="str">
        <f>"0611863712050"</f>
        <v>0611863712050</v>
      </c>
      <c r="B10606" t="str">
        <f>"CR2513"</f>
        <v>CR2513</v>
      </c>
      <c r="C10606" t="s">
        <v>10405</v>
      </c>
    </row>
    <row r="10607" spans="1:3" x14ac:dyDescent="0.25">
      <c r="A10607" t="str">
        <f>"0611863713050"</f>
        <v>0611863713050</v>
      </c>
      <c r="B10607" t="str">
        <f>"CR2990"</f>
        <v>CR2990</v>
      </c>
      <c r="C10607" t="s">
        <v>10406</v>
      </c>
    </row>
    <row r="10608" spans="1:3" x14ac:dyDescent="0.25">
      <c r="A10608" t="str">
        <f>"0611863714050"</f>
        <v>0611863714050</v>
      </c>
      <c r="B10608" t="str">
        <f>"CR3152"</f>
        <v>CR3152</v>
      </c>
      <c r="C10608" t="s">
        <v>10407</v>
      </c>
    </row>
    <row r="10609" spans="1:3" x14ac:dyDescent="0.25">
      <c r="A10609" t="str">
        <f>"0611863715050"</f>
        <v>0611863715050</v>
      </c>
      <c r="B10609" t="str">
        <f>"CR2991"</f>
        <v>CR2991</v>
      </c>
      <c r="C10609" t="s">
        <v>10408</v>
      </c>
    </row>
    <row r="10610" spans="1:3" x14ac:dyDescent="0.25">
      <c r="A10610" t="str">
        <f>"0611863716050"</f>
        <v>0611863716050</v>
      </c>
      <c r="B10610" t="str">
        <f>"CR2992"</f>
        <v>CR2992</v>
      </c>
      <c r="C10610" t="s">
        <v>10409</v>
      </c>
    </row>
    <row r="10611" spans="1:3" x14ac:dyDescent="0.25">
      <c r="A10611" t="str">
        <f>"0611863717050"</f>
        <v>0611863717050</v>
      </c>
      <c r="B10611" t="str">
        <f>"CR5236"</f>
        <v>CR5236</v>
      </c>
      <c r="C10611" t="s">
        <v>10410</v>
      </c>
    </row>
    <row r="10612" spans="1:3" x14ac:dyDescent="0.25">
      <c r="A10612" t="str">
        <f>"0611884390050"</f>
        <v>0611884390050</v>
      </c>
      <c r="B10612" t="str">
        <f>"CR5395"</f>
        <v>CR5395</v>
      </c>
      <c r="C10612" t="s">
        <v>10411</v>
      </c>
    </row>
    <row r="10613" spans="1:3" x14ac:dyDescent="0.25">
      <c r="A10613" t="str">
        <f>"0611906591050"</f>
        <v>0611906591050</v>
      </c>
      <c r="B10613" t="str">
        <f>"CR5511"</f>
        <v>CR5511</v>
      </c>
      <c r="C10613" t="s">
        <v>10412</v>
      </c>
    </row>
    <row r="10614" spans="1:3" x14ac:dyDescent="0.25">
      <c r="A10614" t="str">
        <f>"0611863718050"</f>
        <v>0611863718050</v>
      </c>
      <c r="B10614" t="str">
        <f>"CR3737"</f>
        <v>CR3737</v>
      </c>
      <c r="C10614" t="s">
        <v>10413</v>
      </c>
    </row>
    <row r="10615" spans="1:3" x14ac:dyDescent="0.25">
      <c r="A10615" t="str">
        <f>"0611884391050"</f>
        <v>0611884391050</v>
      </c>
      <c r="B10615" t="str">
        <f>"CR5396"</f>
        <v>CR5396</v>
      </c>
      <c r="C10615" t="s">
        <v>10414</v>
      </c>
    </row>
    <row r="10616" spans="1:3" x14ac:dyDescent="0.25">
      <c r="A10616" t="str">
        <f>"0611863719050"</f>
        <v>0611863719050</v>
      </c>
      <c r="B10616" t="str">
        <f>"CR2515"</f>
        <v>CR2515</v>
      </c>
      <c r="C10616" t="s">
        <v>10415</v>
      </c>
    </row>
    <row r="10617" spans="1:3" x14ac:dyDescent="0.25">
      <c r="A10617" t="str">
        <f>"0611863720050"</f>
        <v>0611863720050</v>
      </c>
      <c r="B10617" t="str">
        <f>"CR4122"</f>
        <v>CR4122</v>
      </c>
      <c r="C10617" t="s">
        <v>10416</v>
      </c>
    </row>
    <row r="10618" spans="1:3" x14ac:dyDescent="0.25">
      <c r="A10618" t="str">
        <f>"0611863721050"</f>
        <v>0611863721050</v>
      </c>
      <c r="B10618" t="str">
        <f>"CR2516"</f>
        <v>CR2516</v>
      </c>
      <c r="C10618" t="s">
        <v>10417</v>
      </c>
    </row>
    <row r="10619" spans="1:3" x14ac:dyDescent="0.25">
      <c r="A10619" t="str">
        <f>"0611863722050"</f>
        <v>0611863722050</v>
      </c>
      <c r="B10619" t="str">
        <f>"CR2993"</f>
        <v>CR2993</v>
      </c>
      <c r="C10619" t="s">
        <v>10418</v>
      </c>
    </row>
    <row r="10620" spans="1:3" x14ac:dyDescent="0.25">
      <c r="A10620" t="str">
        <f>"0611863723050"</f>
        <v>0611863723050</v>
      </c>
      <c r="B10620" t="str">
        <f>"CR2517"</f>
        <v>CR2517</v>
      </c>
      <c r="C10620" t="s">
        <v>10419</v>
      </c>
    </row>
    <row r="10621" spans="1:3" x14ac:dyDescent="0.25">
      <c r="A10621" t="str">
        <f>"0611863724050"</f>
        <v>0611863724050</v>
      </c>
      <c r="B10621" t="str">
        <f>"CR2518"</f>
        <v>CR2518</v>
      </c>
      <c r="C10621" t="s">
        <v>10420</v>
      </c>
    </row>
    <row r="10622" spans="1:3" x14ac:dyDescent="0.25">
      <c r="A10622" t="str">
        <f>"0611863725050"</f>
        <v>0611863725050</v>
      </c>
      <c r="B10622" t="str">
        <f>"CR2994"</f>
        <v>CR2994</v>
      </c>
      <c r="C10622" t="s">
        <v>13937</v>
      </c>
    </row>
    <row r="10623" spans="1:3" x14ac:dyDescent="0.25">
      <c r="A10623" t="str">
        <f>"0611863726050"</f>
        <v>0611863726050</v>
      </c>
      <c r="B10623" t="str">
        <f>"CR3913"</f>
        <v>CR3913</v>
      </c>
      <c r="C10623" t="s">
        <v>10421</v>
      </c>
    </row>
    <row r="10624" spans="1:3" x14ac:dyDescent="0.25">
      <c r="A10624" t="str">
        <f>"0611906592050"</f>
        <v>0611906592050</v>
      </c>
      <c r="B10624" t="str">
        <f>"CR5509"</f>
        <v>CR5509</v>
      </c>
      <c r="C10624" t="s">
        <v>10422</v>
      </c>
    </row>
    <row r="10625" spans="1:3" x14ac:dyDescent="0.25">
      <c r="A10625" t="str">
        <f>"0611906593050"</f>
        <v>0611906593050</v>
      </c>
      <c r="B10625" t="str">
        <f>"CR5510"</f>
        <v>CR5510</v>
      </c>
      <c r="C10625" t="s">
        <v>10423</v>
      </c>
    </row>
    <row r="10626" spans="1:3" x14ac:dyDescent="0.25">
      <c r="A10626" t="str">
        <f>"0611838157100"</f>
        <v>0611838157100</v>
      </c>
      <c r="B10626" t="str">
        <f>"LQ3769"</f>
        <v>LQ3769</v>
      </c>
      <c r="C10626" t="s">
        <v>10424</v>
      </c>
    </row>
    <row r="10627" spans="1:3" x14ac:dyDescent="0.25">
      <c r="A10627" t="str">
        <f>"0611884392100"</f>
        <v>0611884392100</v>
      </c>
      <c r="B10627" t="str">
        <f>"LQ0982"</f>
        <v>LQ0982</v>
      </c>
      <c r="C10627" t="s">
        <v>10431</v>
      </c>
    </row>
    <row r="10628" spans="1:3" x14ac:dyDescent="0.25">
      <c r="A10628" t="str">
        <f>"0611838158100"</f>
        <v>0611838158100</v>
      </c>
      <c r="B10628" t="str">
        <f>"LK5118"</f>
        <v>LK5118</v>
      </c>
      <c r="C10628" t="s">
        <v>10432</v>
      </c>
    </row>
    <row r="10629" spans="1:3" x14ac:dyDescent="0.25">
      <c r="A10629" t="str">
        <f>"0611838159100"</f>
        <v>0611838159100</v>
      </c>
      <c r="B10629" t="str">
        <f>"LK5886"</f>
        <v>LK5886</v>
      </c>
      <c r="C10629" t="s">
        <v>10433</v>
      </c>
    </row>
    <row r="10630" spans="1:3" x14ac:dyDescent="0.25">
      <c r="A10630" t="str">
        <f>"0611838160100"</f>
        <v>0611838160100</v>
      </c>
      <c r="B10630" t="str">
        <f>"LK5887"</f>
        <v>LK5887</v>
      </c>
      <c r="C10630" t="s">
        <v>10434</v>
      </c>
    </row>
    <row r="10631" spans="1:3" x14ac:dyDescent="0.25">
      <c r="A10631" t="str">
        <f>"0611838161100"</f>
        <v>0611838161100</v>
      </c>
      <c r="B10631" t="str">
        <f>"LK5888"</f>
        <v>LK5888</v>
      </c>
      <c r="C10631" t="s">
        <v>10435</v>
      </c>
    </row>
    <row r="10632" spans="1:3" x14ac:dyDescent="0.25">
      <c r="A10632" t="str">
        <f>"0611838162100"</f>
        <v>0611838162100</v>
      </c>
      <c r="B10632" t="str">
        <f>"LK5890"</f>
        <v>LK5890</v>
      </c>
      <c r="C10632" t="s">
        <v>10436</v>
      </c>
    </row>
    <row r="10633" spans="1:3" x14ac:dyDescent="0.25">
      <c r="A10633" t="str">
        <f>"0611838163100"</f>
        <v>0611838163100</v>
      </c>
      <c r="B10633" t="str">
        <f>"LK5891"</f>
        <v>LK5891</v>
      </c>
      <c r="C10633" t="s">
        <v>10437</v>
      </c>
    </row>
    <row r="10634" spans="1:3" x14ac:dyDescent="0.25">
      <c r="A10634" t="str">
        <f>"0611838164100"</f>
        <v>0611838164100</v>
      </c>
      <c r="B10634" t="str">
        <f>"LK5892"</f>
        <v>LK5892</v>
      </c>
      <c r="C10634" t="s">
        <v>10438</v>
      </c>
    </row>
    <row r="10635" spans="1:3" x14ac:dyDescent="0.25">
      <c r="A10635" t="str">
        <f>"0611838165100"</f>
        <v>0611838165100</v>
      </c>
      <c r="B10635" t="str">
        <f>"LK6660"</f>
        <v>LK6660</v>
      </c>
      <c r="C10635" t="s">
        <v>10439</v>
      </c>
    </row>
    <row r="10636" spans="1:3" x14ac:dyDescent="0.25">
      <c r="A10636" t="str">
        <f>"0611838166100"</f>
        <v>0611838166100</v>
      </c>
      <c r="B10636" t="str">
        <f>"LK5893"</f>
        <v>LK5893</v>
      </c>
      <c r="C10636" t="s">
        <v>10440</v>
      </c>
    </row>
    <row r="10637" spans="1:3" x14ac:dyDescent="0.25">
      <c r="A10637" t="str">
        <f>"0611838167100"</f>
        <v>0611838167100</v>
      </c>
      <c r="B10637" t="str">
        <f>"LK5889"</f>
        <v>LK5889</v>
      </c>
      <c r="C10637" t="s">
        <v>10441</v>
      </c>
    </row>
    <row r="10638" spans="1:3" x14ac:dyDescent="0.25">
      <c r="A10638" t="str">
        <f>"0611838168100"</f>
        <v>0611838168100</v>
      </c>
      <c r="B10638" t="str">
        <f>"LK5894"</f>
        <v>LK5894</v>
      </c>
      <c r="C10638" t="s">
        <v>10442</v>
      </c>
    </row>
    <row r="10639" spans="1:3" x14ac:dyDescent="0.25">
      <c r="A10639" t="str">
        <f>"0611838169100"</f>
        <v>0611838169100</v>
      </c>
      <c r="B10639" t="str">
        <f>"LK5895"</f>
        <v>LK5895</v>
      </c>
      <c r="C10639" t="s">
        <v>10443</v>
      </c>
    </row>
    <row r="10640" spans="1:3" x14ac:dyDescent="0.25">
      <c r="A10640" t="str">
        <f>"0611838170100"</f>
        <v>0611838170100</v>
      </c>
      <c r="B10640" t="str">
        <f>"LK5896"</f>
        <v>LK5896</v>
      </c>
      <c r="C10640" t="s">
        <v>10444</v>
      </c>
    </row>
    <row r="10641" spans="1:3" x14ac:dyDescent="0.25">
      <c r="A10641" t="str">
        <f>"0611838171100"</f>
        <v>0611838171100</v>
      </c>
      <c r="B10641" t="str">
        <f>"LK5897"</f>
        <v>LK5897</v>
      </c>
      <c r="C10641" t="s">
        <v>10445</v>
      </c>
    </row>
    <row r="10642" spans="1:3" x14ac:dyDescent="0.25">
      <c r="A10642" t="str">
        <f>"0611838172100"</f>
        <v>0611838172100</v>
      </c>
      <c r="B10642" t="str">
        <f>"LK6659"</f>
        <v>LK6659</v>
      </c>
      <c r="C10642" t="s">
        <v>10446</v>
      </c>
    </row>
    <row r="10643" spans="1:3" x14ac:dyDescent="0.25">
      <c r="A10643" t="str">
        <f>"0611838173100"</f>
        <v>0611838173100</v>
      </c>
      <c r="B10643" t="str">
        <f>"LK5898"</f>
        <v>LK5898</v>
      </c>
      <c r="C10643" t="s">
        <v>10447</v>
      </c>
    </row>
    <row r="10644" spans="1:3" x14ac:dyDescent="0.25">
      <c r="A10644" t="str">
        <f>"0611838174100"</f>
        <v>0611838174100</v>
      </c>
      <c r="B10644" t="str">
        <f>"LK5899"</f>
        <v>LK5899</v>
      </c>
      <c r="C10644" t="s">
        <v>10448</v>
      </c>
    </row>
    <row r="10645" spans="1:3" x14ac:dyDescent="0.25">
      <c r="A10645" t="str">
        <f>"0611838175100"</f>
        <v>0611838175100</v>
      </c>
      <c r="B10645" t="str">
        <f>"LK5900"</f>
        <v>LK5900</v>
      </c>
      <c r="C10645" t="s">
        <v>10449</v>
      </c>
    </row>
    <row r="10646" spans="1:3" x14ac:dyDescent="0.25">
      <c r="A10646" t="str">
        <f>"0611838176100"</f>
        <v>0611838176100</v>
      </c>
      <c r="B10646" t="str">
        <f>"LK5901"</f>
        <v>LK5901</v>
      </c>
      <c r="C10646" t="s">
        <v>10450</v>
      </c>
    </row>
    <row r="10647" spans="1:3" x14ac:dyDescent="0.25">
      <c r="A10647" t="str">
        <f>"0611838177100"</f>
        <v>0611838177100</v>
      </c>
      <c r="B10647" t="str">
        <f>"LK5902"</f>
        <v>LK5902</v>
      </c>
      <c r="C10647" t="s">
        <v>10451</v>
      </c>
    </row>
    <row r="10648" spans="1:3" x14ac:dyDescent="0.25">
      <c r="A10648" t="str">
        <f>"0611838178100"</f>
        <v>0611838178100</v>
      </c>
      <c r="B10648" t="str">
        <f>"LK5903"</f>
        <v>LK5903</v>
      </c>
      <c r="C10648" t="s">
        <v>10452</v>
      </c>
    </row>
    <row r="10649" spans="1:3" x14ac:dyDescent="0.25">
      <c r="A10649" t="str">
        <f>"0611838179100"</f>
        <v>0611838179100</v>
      </c>
      <c r="B10649" t="str">
        <f>"LK5904"</f>
        <v>LK5904</v>
      </c>
      <c r="C10649" t="s">
        <v>10453</v>
      </c>
    </row>
    <row r="10650" spans="1:3" x14ac:dyDescent="0.25">
      <c r="A10650" t="str">
        <f>"0611838180100"</f>
        <v>0611838180100</v>
      </c>
      <c r="B10650" t="str">
        <f>"LK5885"</f>
        <v>LK5885</v>
      </c>
      <c r="C10650" t="s">
        <v>10454</v>
      </c>
    </row>
    <row r="10651" spans="1:3" x14ac:dyDescent="0.25">
      <c r="A10651" t="str">
        <f>"0611838181100"</f>
        <v>0611838181100</v>
      </c>
      <c r="B10651" t="str">
        <f>"LK5905"</f>
        <v>LK5905</v>
      </c>
      <c r="C10651" t="s">
        <v>10455</v>
      </c>
    </row>
    <row r="10652" spans="1:3" x14ac:dyDescent="0.25">
      <c r="A10652" t="str">
        <f>"0611838182100"</f>
        <v>0611838182100</v>
      </c>
      <c r="B10652" t="str">
        <f>"LK5906"</f>
        <v>LK5906</v>
      </c>
      <c r="C10652" t="s">
        <v>10456</v>
      </c>
    </row>
    <row r="10653" spans="1:3" x14ac:dyDescent="0.25">
      <c r="A10653" t="str">
        <f>"0611838183100"</f>
        <v>0611838183100</v>
      </c>
      <c r="B10653" t="str">
        <f>"LK5907"</f>
        <v>LK5907</v>
      </c>
      <c r="C10653" t="s">
        <v>10457</v>
      </c>
    </row>
    <row r="10654" spans="1:3" x14ac:dyDescent="0.25">
      <c r="A10654" t="str">
        <f>"0611838184100"</f>
        <v>0611838184100</v>
      </c>
      <c r="B10654" t="str">
        <f>"LK5908"</f>
        <v>LK5908</v>
      </c>
      <c r="C10654" t="s">
        <v>10458</v>
      </c>
    </row>
    <row r="10655" spans="1:3" x14ac:dyDescent="0.25">
      <c r="A10655" t="str">
        <f>"0611838185100"</f>
        <v>0611838185100</v>
      </c>
      <c r="B10655" t="str">
        <f>"LK5909"</f>
        <v>LK5909</v>
      </c>
      <c r="C10655" t="s">
        <v>10459</v>
      </c>
    </row>
    <row r="10656" spans="1:3" x14ac:dyDescent="0.25">
      <c r="A10656" t="str">
        <f>"0611838186100"</f>
        <v>0611838186100</v>
      </c>
      <c r="B10656" t="str">
        <f>"LK5910"</f>
        <v>LK5910</v>
      </c>
      <c r="C10656" t="s">
        <v>10460</v>
      </c>
    </row>
    <row r="10657" spans="1:3" x14ac:dyDescent="0.25">
      <c r="A10657" t="str">
        <f>"0611884393100"</f>
        <v>0611884393100</v>
      </c>
      <c r="B10657" t="str">
        <f>"LQ0983"</f>
        <v>LQ0983</v>
      </c>
      <c r="C10657" t="s">
        <v>10461</v>
      </c>
    </row>
    <row r="10658" spans="1:3" x14ac:dyDescent="0.25">
      <c r="A10658" t="str">
        <f>"0611838187100"</f>
        <v>0611838187100</v>
      </c>
      <c r="B10658" t="str">
        <f>"LB7540"</f>
        <v>LB7540</v>
      </c>
      <c r="C10658" t="s">
        <v>10462</v>
      </c>
    </row>
    <row r="10659" spans="1:3" x14ac:dyDescent="0.25">
      <c r="A10659" t="str">
        <f>"0611838188100"</f>
        <v>0611838188100</v>
      </c>
      <c r="B10659" t="str">
        <f>"LB7541"</f>
        <v>LB7541</v>
      </c>
      <c r="C10659" t="s">
        <v>10463</v>
      </c>
    </row>
    <row r="10660" spans="1:3" x14ac:dyDescent="0.25">
      <c r="A10660" t="str">
        <f>"0611838189100"</f>
        <v>0611838189100</v>
      </c>
      <c r="B10660" t="str">
        <f>"LB7542"</f>
        <v>LB7542</v>
      </c>
      <c r="C10660" t="s">
        <v>10464</v>
      </c>
    </row>
    <row r="10661" spans="1:3" x14ac:dyDescent="0.25">
      <c r="A10661" t="str">
        <f>"0611838190100"</f>
        <v>0611838190100</v>
      </c>
      <c r="B10661" t="str">
        <f>"LB7545"</f>
        <v>LB7545</v>
      </c>
      <c r="C10661" t="s">
        <v>10465</v>
      </c>
    </row>
    <row r="10662" spans="1:3" x14ac:dyDescent="0.25">
      <c r="A10662" t="str">
        <f>"0611838192100"</f>
        <v>0611838192100</v>
      </c>
      <c r="B10662" t="str">
        <f>"LB7547"</f>
        <v>LB7547</v>
      </c>
      <c r="C10662" t="s">
        <v>10466</v>
      </c>
    </row>
    <row r="10663" spans="1:3" x14ac:dyDescent="0.25">
      <c r="A10663" t="str">
        <f>"0611838193100"</f>
        <v>0611838193100</v>
      </c>
      <c r="B10663" t="str">
        <f>"LB7550"</f>
        <v>LB7550</v>
      </c>
      <c r="C10663" t="s">
        <v>10467</v>
      </c>
    </row>
    <row r="10664" spans="1:3" x14ac:dyDescent="0.25">
      <c r="A10664" t="str">
        <f>"0611838194100"</f>
        <v>0611838194100</v>
      </c>
      <c r="B10664" t="str">
        <f>"LB7552"</f>
        <v>LB7552</v>
      </c>
      <c r="C10664" t="s">
        <v>10468</v>
      </c>
    </row>
    <row r="10665" spans="1:3" x14ac:dyDescent="0.25">
      <c r="A10665" t="str">
        <f>"0611838195100"</f>
        <v>0611838195100</v>
      </c>
      <c r="B10665" t="str">
        <f>"LB7554"</f>
        <v>LB7554</v>
      </c>
      <c r="C10665" t="s">
        <v>10469</v>
      </c>
    </row>
    <row r="10666" spans="1:3" x14ac:dyDescent="0.25">
      <c r="A10666" t="str">
        <f>"0611838198100"</f>
        <v>0611838198100</v>
      </c>
      <c r="B10666" t="str">
        <f>"LB7677"</f>
        <v>LB7677</v>
      </c>
      <c r="C10666" t="s">
        <v>10470</v>
      </c>
    </row>
    <row r="10667" spans="1:3" x14ac:dyDescent="0.25">
      <c r="A10667" t="str">
        <f>"0611838200100"</f>
        <v>0611838200100</v>
      </c>
      <c r="B10667" t="str">
        <f>"LK0338"</f>
        <v>LK0338</v>
      </c>
      <c r="C10667" t="s">
        <v>10471</v>
      </c>
    </row>
    <row r="10668" spans="1:3" x14ac:dyDescent="0.25">
      <c r="A10668" t="str">
        <f>"0611838201100"</f>
        <v>0611838201100</v>
      </c>
      <c r="B10668" t="str">
        <f>"LB7558"</f>
        <v>LB7558</v>
      </c>
      <c r="C10668" t="s">
        <v>10472</v>
      </c>
    </row>
    <row r="10669" spans="1:3" x14ac:dyDescent="0.25">
      <c r="A10669" t="str">
        <f>"0611838202100"</f>
        <v>0611838202100</v>
      </c>
      <c r="B10669" t="str">
        <f>"LB7565"</f>
        <v>LB7565</v>
      </c>
      <c r="C10669" t="s">
        <v>10473</v>
      </c>
    </row>
    <row r="10670" spans="1:3" x14ac:dyDescent="0.25">
      <c r="A10670" t="str">
        <f>"0611837644100"</f>
        <v>0611837644100</v>
      </c>
      <c r="B10670" t="str">
        <f>"LQ0963"</f>
        <v>LQ0963</v>
      </c>
      <c r="C10670" t="s">
        <v>9661</v>
      </c>
    </row>
    <row r="10671" spans="1:3" x14ac:dyDescent="0.25">
      <c r="A10671" t="str">
        <f>"0611838209100"</f>
        <v>0611838209100</v>
      </c>
      <c r="B10671" t="str">
        <f>"LQ3808"</f>
        <v>LQ3808</v>
      </c>
      <c r="C10671" t="s">
        <v>10474</v>
      </c>
    </row>
    <row r="10672" spans="1:3" x14ac:dyDescent="0.25">
      <c r="A10672" t="str">
        <f>"0611838212100"</f>
        <v>0611838212100</v>
      </c>
      <c r="B10672" t="str">
        <f>"LK0920"</f>
        <v>LK0920</v>
      </c>
      <c r="C10672" t="s">
        <v>10475</v>
      </c>
    </row>
    <row r="10673" spans="1:3" x14ac:dyDescent="0.25">
      <c r="A10673" t="str">
        <f>"0611838214050"</f>
        <v>0611838214050</v>
      </c>
      <c r="B10673" t="str">
        <f>"NM0008"</f>
        <v>NM0008</v>
      </c>
      <c r="C10673" t="s">
        <v>10476</v>
      </c>
    </row>
    <row r="10674" spans="1:3" x14ac:dyDescent="0.25">
      <c r="A10674" t="str">
        <f>"0611838215100"</f>
        <v>0611838215100</v>
      </c>
      <c r="B10674" t="str">
        <f>"LK6558"</f>
        <v>LK6558</v>
      </c>
      <c r="C10674" t="s">
        <v>10477</v>
      </c>
    </row>
    <row r="10675" spans="1:3" x14ac:dyDescent="0.25">
      <c r="A10675" t="str">
        <f>"0611838280100"</f>
        <v>0611838280100</v>
      </c>
      <c r="B10675" t="str">
        <f>"LK0339"</f>
        <v>LK0339</v>
      </c>
      <c r="C10675" t="s">
        <v>10478</v>
      </c>
    </row>
    <row r="10676" spans="1:3" x14ac:dyDescent="0.25">
      <c r="A10676" t="str">
        <f>"0611838282050"</f>
        <v>0611838282050</v>
      </c>
      <c r="B10676" t="str">
        <f>"NM0009"</f>
        <v>NM0009</v>
      </c>
      <c r="C10676" t="s">
        <v>10479</v>
      </c>
    </row>
    <row r="10677" spans="1:3" x14ac:dyDescent="0.25">
      <c r="A10677" t="str">
        <f>"0611838283025"</f>
        <v>0611838283025</v>
      </c>
      <c r="B10677" t="str">
        <f>"MC3608"</f>
        <v>MC3608</v>
      </c>
      <c r="C10677" t="s">
        <v>10480</v>
      </c>
    </row>
    <row r="10678" spans="1:3" x14ac:dyDescent="0.25">
      <c r="A10678" t="str">
        <f>"0611838284100"</f>
        <v>0611838284100</v>
      </c>
      <c r="B10678" t="str">
        <f>"LB6409"</f>
        <v>LB6409</v>
      </c>
      <c r="C10678" t="s">
        <v>10481</v>
      </c>
    </row>
    <row r="10679" spans="1:3" x14ac:dyDescent="0.25">
      <c r="A10679" t="str">
        <f>"0611838286050"</f>
        <v>0611838286050</v>
      </c>
      <c r="B10679" t="str">
        <f>"NM0010"</f>
        <v>NM0010</v>
      </c>
      <c r="C10679" t="s">
        <v>10482</v>
      </c>
    </row>
    <row r="10680" spans="1:3" x14ac:dyDescent="0.25">
      <c r="A10680" t="str">
        <f>"0611838287100"</f>
        <v>0611838287100</v>
      </c>
      <c r="B10680" t="str">
        <f>"LB6372"</f>
        <v>LB6372</v>
      </c>
      <c r="C10680" t="s">
        <v>10483</v>
      </c>
    </row>
    <row r="10681" spans="1:3" x14ac:dyDescent="0.25">
      <c r="A10681" t="str">
        <f>"0611838288025"</f>
        <v>0611838288025</v>
      </c>
      <c r="B10681" t="str">
        <f>"MC0755"</f>
        <v>MC0755</v>
      </c>
      <c r="C10681" t="s">
        <v>10484</v>
      </c>
    </row>
    <row r="10682" spans="1:3" x14ac:dyDescent="0.25">
      <c r="A10682" t="str">
        <f>"0611838289050"</f>
        <v>0611838289050</v>
      </c>
      <c r="B10682" t="str">
        <f>"NM0011"</f>
        <v>NM0011</v>
      </c>
      <c r="C10682" t="s">
        <v>10485</v>
      </c>
    </row>
    <row r="10683" spans="1:3" x14ac:dyDescent="0.25">
      <c r="A10683" t="str">
        <f>"0611838290100"</f>
        <v>0611838290100</v>
      </c>
      <c r="B10683" t="str">
        <f>"LK4568"</f>
        <v>LK4568</v>
      </c>
      <c r="C10683" t="s">
        <v>10486</v>
      </c>
    </row>
    <row r="10684" spans="1:3" x14ac:dyDescent="0.25">
      <c r="A10684" t="str">
        <f>"0611838291050"</f>
        <v>0611838291050</v>
      </c>
      <c r="B10684" t="str">
        <f>"NM0012"</f>
        <v>NM0012</v>
      </c>
      <c r="C10684" t="s">
        <v>10487</v>
      </c>
    </row>
    <row r="10685" spans="1:3" x14ac:dyDescent="0.25">
      <c r="A10685" t="str">
        <f>"0611838292100"</f>
        <v>0611838292100</v>
      </c>
      <c r="B10685" t="str">
        <f>"MB6151"</f>
        <v>MB6151</v>
      </c>
      <c r="C10685" t="s">
        <v>10488</v>
      </c>
    </row>
    <row r="10686" spans="1:3" x14ac:dyDescent="0.25">
      <c r="A10686" t="str">
        <f>"0611838293100"</f>
        <v>0611838293100</v>
      </c>
      <c r="B10686" t="str">
        <f>"LB7671"</f>
        <v>LB7671</v>
      </c>
      <c r="C10686" t="s">
        <v>10489</v>
      </c>
    </row>
    <row r="10687" spans="1:3" x14ac:dyDescent="0.25">
      <c r="A10687" t="str">
        <f>"0611838294025"</f>
        <v>0611838294025</v>
      </c>
      <c r="B10687" t="str">
        <f>"MC0754"</f>
        <v>MC0754</v>
      </c>
      <c r="C10687" t="s">
        <v>10490</v>
      </c>
    </row>
    <row r="10688" spans="1:3" x14ac:dyDescent="0.25">
      <c r="A10688" t="str">
        <f>"0611838295050"</f>
        <v>0611838295050</v>
      </c>
      <c r="B10688" t="str">
        <f>"NM0013"</f>
        <v>NM0013</v>
      </c>
      <c r="C10688" t="s">
        <v>10491</v>
      </c>
    </row>
    <row r="10689" spans="1:3" x14ac:dyDescent="0.25">
      <c r="A10689" t="str">
        <f>"0611838296100"</f>
        <v>0611838296100</v>
      </c>
      <c r="B10689" t="str">
        <f>"LB6439"</f>
        <v>LB6439</v>
      </c>
      <c r="C10689" t="s">
        <v>10492</v>
      </c>
    </row>
    <row r="10690" spans="1:3" x14ac:dyDescent="0.25">
      <c r="A10690" t="str">
        <f>"0611838299100"</f>
        <v>0611838299100</v>
      </c>
      <c r="B10690" t="str">
        <f>"LK4615"</f>
        <v>LK4615</v>
      </c>
      <c r="C10690" t="s">
        <v>10274</v>
      </c>
    </row>
    <row r="10691" spans="1:3" x14ac:dyDescent="0.25">
      <c r="A10691" t="str">
        <f>"0611838300100"</f>
        <v>0611838300100</v>
      </c>
      <c r="B10691" t="str">
        <f>"LK4884"</f>
        <v>LK4884</v>
      </c>
      <c r="C10691" t="s">
        <v>10275</v>
      </c>
    </row>
    <row r="10692" spans="1:3" x14ac:dyDescent="0.25">
      <c r="A10692" t="str">
        <f>"0611838301100"</f>
        <v>0611838301100</v>
      </c>
      <c r="B10692" t="str">
        <f>"LK5120"</f>
        <v>LK5120</v>
      </c>
      <c r="C10692" t="s">
        <v>10277</v>
      </c>
    </row>
    <row r="10693" spans="1:3" x14ac:dyDescent="0.25">
      <c r="A10693" t="str">
        <f>"0611838303100"</f>
        <v>0611838303100</v>
      </c>
      <c r="B10693" t="str">
        <f>"LK4407"</f>
        <v>LK4407</v>
      </c>
      <c r="C10693" t="s">
        <v>10276</v>
      </c>
    </row>
    <row r="10694" spans="1:3" x14ac:dyDescent="0.25">
      <c r="A10694" t="str">
        <f>"0611838305100"</f>
        <v>0611838305100</v>
      </c>
      <c r="B10694" t="str">
        <f>"LK3500"</f>
        <v>LK3500</v>
      </c>
      <c r="C10694" t="s">
        <v>10278</v>
      </c>
    </row>
    <row r="10695" spans="1:3" x14ac:dyDescent="0.25">
      <c r="A10695" t="str">
        <f>"0611838306100"</f>
        <v>0611838306100</v>
      </c>
      <c r="B10695" t="str">
        <f>"LK3501"</f>
        <v>LK3501</v>
      </c>
      <c r="C10695" t="s">
        <v>10279</v>
      </c>
    </row>
    <row r="10696" spans="1:3" x14ac:dyDescent="0.25">
      <c r="A10696" t="str">
        <f>"0611838307100"</f>
        <v>0611838307100</v>
      </c>
      <c r="B10696" t="str">
        <f>"LK5121"</f>
        <v>LK5121</v>
      </c>
      <c r="C10696" t="s">
        <v>10280</v>
      </c>
    </row>
    <row r="10697" spans="1:3" x14ac:dyDescent="0.25">
      <c r="A10697" t="str">
        <f>"0611838309100"</f>
        <v>0611838309100</v>
      </c>
      <c r="B10697" t="str">
        <f>"LK3502"</f>
        <v>LK3502</v>
      </c>
      <c r="C10697" t="s">
        <v>10281</v>
      </c>
    </row>
    <row r="10698" spans="1:3" x14ac:dyDescent="0.25">
      <c r="A10698" t="str">
        <f>"0611838308100"</f>
        <v>0611838308100</v>
      </c>
      <c r="B10698" t="str">
        <f>"LK6845"</f>
        <v>LK6845</v>
      </c>
      <c r="C10698" t="s">
        <v>10282</v>
      </c>
    </row>
    <row r="10699" spans="1:3" x14ac:dyDescent="0.25">
      <c r="A10699" t="str">
        <f>"0611838310100"</f>
        <v>0611838310100</v>
      </c>
      <c r="B10699" t="str">
        <f>"LK4885"</f>
        <v>LK4885</v>
      </c>
      <c r="C10699" t="s">
        <v>10283</v>
      </c>
    </row>
    <row r="10700" spans="1:3" x14ac:dyDescent="0.25">
      <c r="A10700" t="str">
        <f>"0611838312100"</f>
        <v>0611838312100</v>
      </c>
      <c r="B10700" t="str">
        <f>"LK3503"</f>
        <v>LK3503</v>
      </c>
      <c r="C10700" t="s">
        <v>10284</v>
      </c>
    </row>
    <row r="10701" spans="1:3" x14ac:dyDescent="0.25">
      <c r="A10701" t="str">
        <f>"0611838314100"</f>
        <v>0611838314100</v>
      </c>
      <c r="B10701" t="str">
        <f>"LK4523"</f>
        <v>LK4523</v>
      </c>
      <c r="C10701" t="s">
        <v>10285</v>
      </c>
    </row>
    <row r="10702" spans="1:3" x14ac:dyDescent="0.25">
      <c r="A10702" t="str">
        <f>"0611838315100"</f>
        <v>0611838315100</v>
      </c>
      <c r="B10702" t="str">
        <f>"LK4886"</f>
        <v>LK4886</v>
      </c>
      <c r="C10702" t="s">
        <v>10286</v>
      </c>
    </row>
    <row r="10703" spans="1:3" x14ac:dyDescent="0.25">
      <c r="A10703" t="str">
        <f>"0611838316100"</f>
        <v>0611838316100</v>
      </c>
      <c r="B10703" t="str">
        <f>"LK6977"</f>
        <v>LK6977</v>
      </c>
      <c r="C10703" t="s">
        <v>10287</v>
      </c>
    </row>
    <row r="10704" spans="1:3" x14ac:dyDescent="0.25">
      <c r="A10704" t="str">
        <f>"0611838317100"</f>
        <v>0611838317100</v>
      </c>
      <c r="B10704" t="str">
        <f>"LK5676"</f>
        <v>LK5676</v>
      </c>
      <c r="C10704" t="s">
        <v>10288</v>
      </c>
    </row>
    <row r="10705" spans="1:3" x14ac:dyDescent="0.25">
      <c r="A10705" t="str">
        <f>"0611838318100"</f>
        <v>0611838318100</v>
      </c>
      <c r="B10705" t="str">
        <f>"LB6305"</f>
        <v>LB6305</v>
      </c>
      <c r="C10705" t="s">
        <v>10425</v>
      </c>
    </row>
    <row r="10706" spans="1:3" x14ac:dyDescent="0.25">
      <c r="A10706" t="str">
        <f>"0611838320100"</f>
        <v>0611838320100</v>
      </c>
      <c r="B10706" t="str">
        <f>"LB6308"</f>
        <v>LB6308</v>
      </c>
      <c r="C10706" t="s">
        <v>10426</v>
      </c>
    </row>
    <row r="10707" spans="1:3" x14ac:dyDescent="0.25">
      <c r="A10707" t="str">
        <f>"0611838321100"</f>
        <v>0611838321100</v>
      </c>
      <c r="B10707" t="str">
        <f>"LK0919"</f>
        <v>LK0919</v>
      </c>
      <c r="C10707" t="s">
        <v>10427</v>
      </c>
    </row>
    <row r="10708" spans="1:3" x14ac:dyDescent="0.25">
      <c r="A10708" t="str">
        <f>"0611838322100"</f>
        <v>0611838322100</v>
      </c>
      <c r="B10708" t="str">
        <f>"LK5677"</f>
        <v>LK5677</v>
      </c>
      <c r="C10708" t="s">
        <v>10428</v>
      </c>
    </row>
    <row r="10709" spans="1:3" x14ac:dyDescent="0.25">
      <c r="A10709" t="str">
        <f>"0611838323100"</f>
        <v>0611838323100</v>
      </c>
      <c r="B10709" t="str">
        <f>"LK0336"</f>
        <v>LK0336</v>
      </c>
      <c r="C10709" t="s">
        <v>10429</v>
      </c>
    </row>
    <row r="10710" spans="1:3" x14ac:dyDescent="0.25">
      <c r="A10710" t="str">
        <f>"0611838324050"</f>
        <v>0611838324050</v>
      </c>
      <c r="B10710" t="str">
        <f>"NM0062"</f>
        <v>NM0062</v>
      </c>
      <c r="C10710" t="s">
        <v>10430</v>
      </c>
    </row>
    <row r="10711" spans="1:3" x14ac:dyDescent="0.25">
      <c r="A10711" t="str">
        <f>"0611838325100"</f>
        <v>0611838325100</v>
      </c>
      <c r="B10711" t="str">
        <f>"LS0113"</f>
        <v>LS0113</v>
      </c>
      <c r="C10711" t="s">
        <v>10493</v>
      </c>
    </row>
    <row r="10712" spans="1:3" x14ac:dyDescent="0.25">
      <c r="A10712" t="str">
        <f>"0611838326100"</f>
        <v>0611838326100</v>
      </c>
      <c r="B10712" t="str">
        <f>"LK1731"</f>
        <v>LK1731</v>
      </c>
      <c r="C10712" t="s">
        <v>10494</v>
      </c>
    </row>
    <row r="10713" spans="1:3" x14ac:dyDescent="0.25">
      <c r="A10713" t="str">
        <f>"0611838327100"</f>
        <v>0611838327100</v>
      </c>
      <c r="B10713" t="str">
        <f>"LK5331"</f>
        <v>LK5331</v>
      </c>
      <c r="C10713" t="s">
        <v>10495</v>
      </c>
    </row>
    <row r="10714" spans="1:3" x14ac:dyDescent="0.25">
      <c r="A10714" t="str">
        <f>"0611838328100"</f>
        <v>0611838328100</v>
      </c>
      <c r="B10714" t="str">
        <f>"LQ3740"</f>
        <v>LQ3740</v>
      </c>
      <c r="C10714" t="s">
        <v>10496</v>
      </c>
    </row>
    <row r="10715" spans="1:3" x14ac:dyDescent="0.25">
      <c r="A10715" t="str">
        <f>"0611857076100"</f>
        <v>0611857076100</v>
      </c>
      <c r="B10715" t="str">
        <f>"LF3492"</f>
        <v>LF3492</v>
      </c>
      <c r="C10715" t="s">
        <v>10497</v>
      </c>
    </row>
    <row r="10716" spans="1:3" x14ac:dyDescent="0.25">
      <c r="A10716" t="str">
        <f>"0611838355100"</f>
        <v>0611838355100</v>
      </c>
      <c r="B10716" t="str">
        <f>"LF5710"</f>
        <v>LF5710</v>
      </c>
      <c r="C10716" t="s">
        <v>10498</v>
      </c>
    </row>
    <row r="10717" spans="1:3" x14ac:dyDescent="0.25">
      <c r="A10717" t="str">
        <f>"0611838354100"</f>
        <v>0611838354100</v>
      </c>
      <c r="B10717" t="str">
        <f>"MB5732"</f>
        <v>MB5732</v>
      </c>
      <c r="C10717" t="s">
        <v>10499</v>
      </c>
    </row>
    <row r="10718" spans="1:3" x14ac:dyDescent="0.25">
      <c r="A10718" t="str">
        <f>"0611838356100"</f>
        <v>0611838356100</v>
      </c>
      <c r="B10718" t="str">
        <f>"LK0340"</f>
        <v>LK0340</v>
      </c>
      <c r="C10718" t="s">
        <v>10500</v>
      </c>
    </row>
    <row r="10719" spans="1:3" x14ac:dyDescent="0.25">
      <c r="A10719" t="str">
        <f>"0611838358100"</f>
        <v>0611838358100</v>
      </c>
      <c r="B10719" t="str">
        <f>"LB7750"</f>
        <v>LB7750</v>
      </c>
      <c r="C10719" t="s">
        <v>10501</v>
      </c>
    </row>
    <row r="10720" spans="1:3" x14ac:dyDescent="0.25">
      <c r="A10720" t="str">
        <f>"0611838360100"</f>
        <v>0611838360100</v>
      </c>
      <c r="B10720" t="str">
        <f>"LB7866"</f>
        <v>LB7866</v>
      </c>
      <c r="C10720" t="s">
        <v>10502</v>
      </c>
    </row>
    <row r="10721" spans="1:3" x14ac:dyDescent="0.25">
      <c r="A10721" t="str">
        <f>"0611838361100"</f>
        <v>0611838361100</v>
      </c>
      <c r="B10721" t="str">
        <f>"LK0610"</f>
        <v>LK0610</v>
      </c>
      <c r="C10721" t="s">
        <v>10503</v>
      </c>
    </row>
    <row r="10722" spans="1:3" x14ac:dyDescent="0.25">
      <c r="A10722" t="str">
        <f>"0611838362100"</f>
        <v>0611838362100</v>
      </c>
      <c r="B10722" t="str">
        <f>"LK2361"</f>
        <v>LK2361</v>
      </c>
      <c r="C10722" t="s">
        <v>10504</v>
      </c>
    </row>
    <row r="10723" spans="1:3" x14ac:dyDescent="0.25">
      <c r="A10723" t="str">
        <f>"0611838363100"</f>
        <v>0611838363100</v>
      </c>
      <c r="B10723" t="str">
        <f>"LK5913"</f>
        <v>LK5913</v>
      </c>
      <c r="C10723" t="s">
        <v>10505</v>
      </c>
    </row>
    <row r="10724" spans="1:3" x14ac:dyDescent="0.25">
      <c r="A10724" t="str">
        <f>"0611838364100"</f>
        <v>0611838364100</v>
      </c>
      <c r="B10724" t="str">
        <f>"LB7754"</f>
        <v>LB7754</v>
      </c>
      <c r="C10724" t="s">
        <v>10506</v>
      </c>
    </row>
    <row r="10725" spans="1:3" x14ac:dyDescent="0.25">
      <c r="A10725" t="str">
        <f>"0611863727100"</f>
        <v>0611863727100</v>
      </c>
      <c r="B10725" t="str">
        <f>"CN5340"</f>
        <v>CN5340</v>
      </c>
      <c r="C10725" t="s">
        <v>10507</v>
      </c>
    </row>
    <row r="10726" spans="1:3" x14ac:dyDescent="0.25">
      <c r="A10726" t="str">
        <f>"0611838365025"</f>
        <v>0611838365025</v>
      </c>
      <c r="B10726" t="str">
        <f>"MQ5129"</f>
        <v>MQ5129</v>
      </c>
      <c r="C10726" t="s">
        <v>10508</v>
      </c>
    </row>
    <row r="10727" spans="1:3" x14ac:dyDescent="0.25">
      <c r="A10727" t="str">
        <f>"0611857077025"</f>
        <v>0611857077025</v>
      </c>
      <c r="B10727" t="str">
        <f>"MQ0801"</f>
        <v>MQ0801</v>
      </c>
      <c r="C10727" t="s">
        <v>10509</v>
      </c>
    </row>
    <row r="10728" spans="1:3" x14ac:dyDescent="0.25">
      <c r="A10728" t="str">
        <f>"0611838367100"</f>
        <v>0611838367100</v>
      </c>
      <c r="B10728" t="str">
        <f>"LH8076"</f>
        <v>LH8076</v>
      </c>
      <c r="C10728" t="s">
        <v>10510</v>
      </c>
    </row>
    <row r="10729" spans="1:3" x14ac:dyDescent="0.25">
      <c r="A10729" t="str">
        <f>"0611863728100"</f>
        <v>0611863728100</v>
      </c>
      <c r="B10729" t="str">
        <f>"CN2385"</f>
        <v>CN2385</v>
      </c>
      <c r="C10729" t="s">
        <v>10511</v>
      </c>
    </row>
    <row r="10730" spans="1:3" x14ac:dyDescent="0.25">
      <c r="A10730" t="str">
        <f>"0611838369025"</f>
        <v>0611838369025</v>
      </c>
      <c r="B10730" t="str">
        <f>"MC3401"</f>
        <v>MC3401</v>
      </c>
      <c r="C10730" t="s">
        <v>10512</v>
      </c>
    </row>
    <row r="10731" spans="1:3" x14ac:dyDescent="0.25">
      <c r="A10731" t="str">
        <f>"0611838370025"</f>
        <v>0611838370025</v>
      </c>
      <c r="B10731" t="str">
        <f>"MC2619"</f>
        <v>MC2619</v>
      </c>
      <c r="C10731" t="s">
        <v>10513</v>
      </c>
    </row>
    <row r="10732" spans="1:3" x14ac:dyDescent="0.25">
      <c r="A10732" t="str">
        <f>"0611838371025"</f>
        <v>0611838371025</v>
      </c>
      <c r="B10732" t="str">
        <f>"MC0593"</f>
        <v>MC0593</v>
      </c>
      <c r="C10732" t="s">
        <v>10514</v>
      </c>
    </row>
    <row r="10733" spans="1:3" x14ac:dyDescent="0.25">
      <c r="A10733" t="str">
        <f>"0611863729100"</f>
        <v>0611863729100</v>
      </c>
      <c r="B10733" t="str">
        <f>"CN5341"</f>
        <v>CN5341</v>
      </c>
      <c r="C10733" t="s">
        <v>10515</v>
      </c>
    </row>
    <row r="10734" spans="1:3" x14ac:dyDescent="0.25">
      <c r="A10734" t="str">
        <f>"0611838372025"</f>
        <v>0611838372025</v>
      </c>
      <c r="B10734" t="str">
        <f>"MC0605"</f>
        <v>MC0605</v>
      </c>
      <c r="C10734" t="s">
        <v>10516</v>
      </c>
    </row>
    <row r="10735" spans="1:3" x14ac:dyDescent="0.25">
      <c r="A10735" t="str">
        <f>"0611863730050"</f>
        <v>0611863730050</v>
      </c>
      <c r="B10735" t="str">
        <f>"CR4436"</f>
        <v>CR4436</v>
      </c>
      <c r="C10735" t="s">
        <v>10517</v>
      </c>
    </row>
    <row r="10736" spans="1:3" x14ac:dyDescent="0.25">
      <c r="A10736" t="str">
        <f>"0611863731050"</f>
        <v>0611863731050</v>
      </c>
      <c r="B10736" t="str">
        <f>"CE1010"</f>
        <v>CE1010</v>
      </c>
      <c r="C10736" t="s">
        <v>10518</v>
      </c>
    </row>
    <row r="10737" spans="1:3" x14ac:dyDescent="0.25">
      <c r="A10737" t="str">
        <f>"0611838373100"</f>
        <v>0611838373100</v>
      </c>
      <c r="B10737" t="str">
        <f>"LH8951"</f>
        <v>LH8951</v>
      </c>
      <c r="C10737" t="s">
        <v>13938</v>
      </c>
    </row>
    <row r="10738" spans="1:3" x14ac:dyDescent="0.25">
      <c r="A10738" t="str">
        <f>"0611863733100"</f>
        <v>0611863733100</v>
      </c>
      <c r="B10738" t="str">
        <f>"CN5298"</f>
        <v>CN5298</v>
      </c>
      <c r="C10738" t="s">
        <v>10519</v>
      </c>
    </row>
    <row r="10739" spans="1:3" x14ac:dyDescent="0.25">
      <c r="A10739" t="str">
        <f>"0611838374025"</f>
        <v>0611838374025</v>
      </c>
      <c r="B10739" t="str">
        <f>"MC4355"</f>
        <v>MC4355</v>
      </c>
      <c r="C10739" t="s">
        <v>10520</v>
      </c>
    </row>
    <row r="10740" spans="1:3" x14ac:dyDescent="0.25">
      <c r="A10740" t="str">
        <f>"0611863732050"</f>
        <v>0611863732050</v>
      </c>
      <c r="B10740" t="str">
        <f>"CR4418"</f>
        <v>CR4418</v>
      </c>
      <c r="C10740" t="s">
        <v>10521</v>
      </c>
    </row>
    <row r="10741" spans="1:3" x14ac:dyDescent="0.25">
      <c r="A10741" t="str">
        <f>"0611838375025"</f>
        <v>0611838375025</v>
      </c>
      <c r="B10741" t="str">
        <f>"MQ0313"</f>
        <v>MQ0313</v>
      </c>
      <c r="C10741" t="s">
        <v>10522</v>
      </c>
    </row>
    <row r="10742" spans="1:3" x14ac:dyDescent="0.25">
      <c r="A10742" t="str">
        <f>"0611838376025"</f>
        <v>0611838376025</v>
      </c>
      <c r="B10742" t="str">
        <f>"MC1477"</f>
        <v>MC1477</v>
      </c>
      <c r="C10742" t="s">
        <v>10523</v>
      </c>
    </row>
    <row r="10743" spans="1:3" x14ac:dyDescent="0.25">
      <c r="A10743" t="str">
        <f>"0611838377100"</f>
        <v>0611838377100</v>
      </c>
      <c r="B10743" t="str">
        <f>"LH8055"</f>
        <v>LH8055</v>
      </c>
      <c r="C10743" t="s">
        <v>10524</v>
      </c>
    </row>
    <row r="10744" spans="1:3" x14ac:dyDescent="0.25">
      <c r="A10744" t="str">
        <f>"0611838378025"</f>
        <v>0611838378025</v>
      </c>
      <c r="B10744" t="str">
        <f>"MC3787"</f>
        <v>MC3787</v>
      </c>
      <c r="C10744" t="s">
        <v>10525</v>
      </c>
    </row>
    <row r="10745" spans="1:3" x14ac:dyDescent="0.25">
      <c r="A10745" t="str">
        <f>"0611838379025"</f>
        <v>0611838379025</v>
      </c>
      <c r="B10745" t="str">
        <f>"MC0606"</f>
        <v>MC0606</v>
      </c>
      <c r="C10745" t="s">
        <v>10526</v>
      </c>
    </row>
    <row r="10746" spans="1:3" x14ac:dyDescent="0.25">
      <c r="A10746" t="str">
        <f>"0611863735050"</f>
        <v>0611863735050</v>
      </c>
      <c r="B10746" t="str">
        <f>"CR4432"</f>
        <v>CR4432</v>
      </c>
      <c r="C10746" t="s">
        <v>10527</v>
      </c>
    </row>
    <row r="10747" spans="1:3" x14ac:dyDescent="0.25">
      <c r="A10747" t="str">
        <f>"0611838380025"</f>
        <v>0611838380025</v>
      </c>
      <c r="B10747" t="str">
        <f>"MC0594"</f>
        <v>MC0594</v>
      </c>
      <c r="C10747" t="s">
        <v>10528</v>
      </c>
    </row>
    <row r="10748" spans="1:3" x14ac:dyDescent="0.25">
      <c r="A10748" t="str">
        <f>"0611863736100"</f>
        <v>0611863736100</v>
      </c>
      <c r="B10748" t="str">
        <f>"CN5343"</f>
        <v>CN5343</v>
      </c>
      <c r="C10748" t="s">
        <v>10529</v>
      </c>
    </row>
    <row r="10749" spans="1:3" x14ac:dyDescent="0.25">
      <c r="A10749" t="str">
        <f>"0611838382025"</f>
        <v>0611838382025</v>
      </c>
      <c r="B10749" t="str">
        <f>"MC2847"</f>
        <v>MC2847</v>
      </c>
      <c r="C10749" t="s">
        <v>10530</v>
      </c>
    </row>
    <row r="10750" spans="1:3" x14ac:dyDescent="0.25">
      <c r="A10750" t="str">
        <f>"0611863737050"</f>
        <v>0611863737050</v>
      </c>
      <c r="B10750" t="str">
        <f>"CR4434"</f>
        <v>CR4434</v>
      </c>
      <c r="C10750" t="s">
        <v>10531</v>
      </c>
    </row>
    <row r="10751" spans="1:3" x14ac:dyDescent="0.25">
      <c r="A10751" t="str">
        <f>"0611857078025"</f>
        <v>0611857078025</v>
      </c>
      <c r="B10751" t="str">
        <f>"MC4425"</f>
        <v>MC4425</v>
      </c>
      <c r="C10751" t="s">
        <v>10532</v>
      </c>
    </row>
    <row r="10752" spans="1:3" x14ac:dyDescent="0.25">
      <c r="A10752" t="str">
        <f>"0611863738100"</f>
        <v>0611863738100</v>
      </c>
      <c r="B10752" t="str">
        <f>"CN2387"</f>
        <v>CN2387</v>
      </c>
      <c r="C10752" t="s">
        <v>10533</v>
      </c>
    </row>
    <row r="10753" spans="1:3" x14ac:dyDescent="0.25">
      <c r="A10753" t="str">
        <f>"0611863739100"</f>
        <v>0611863739100</v>
      </c>
      <c r="B10753" t="str">
        <f>"CN5303"</f>
        <v>CN5303</v>
      </c>
      <c r="C10753" t="s">
        <v>10534</v>
      </c>
    </row>
    <row r="10754" spans="1:3" x14ac:dyDescent="0.25">
      <c r="A10754" t="str">
        <f>"0611863740050"</f>
        <v>0611863740050</v>
      </c>
      <c r="B10754" t="str">
        <f>"CR3817"</f>
        <v>CR3817</v>
      </c>
      <c r="C10754" t="s">
        <v>10535</v>
      </c>
    </row>
    <row r="10755" spans="1:3" x14ac:dyDescent="0.25">
      <c r="A10755" t="str">
        <f>"0611863741100"</f>
        <v>0611863741100</v>
      </c>
      <c r="B10755" t="str">
        <f>"CN2388"</f>
        <v>CN2388</v>
      </c>
      <c r="C10755" t="s">
        <v>10536</v>
      </c>
    </row>
    <row r="10756" spans="1:3" x14ac:dyDescent="0.25">
      <c r="A10756" t="str">
        <f>"0611863742100"</f>
        <v>0611863742100</v>
      </c>
      <c r="B10756" t="str">
        <f>"CN5304"</f>
        <v>CN5304</v>
      </c>
      <c r="C10756" t="s">
        <v>10537</v>
      </c>
    </row>
    <row r="10757" spans="1:3" x14ac:dyDescent="0.25">
      <c r="A10757" t="str">
        <f>"0611863743050"</f>
        <v>0611863743050</v>
      </c>
      <c r="B10757" t="str">
        <f>"CR4872"</f>
        <v>CR4872</v>
      </c>
      <c r="C10757" t="s">
        <v>10538</v>
      </c>
    </row>
    <row r="10758" spans="1:3" x14ac:dyDescent="0.25">
      <c r="A10758" t="str">
        <f>"0611863744100"</f>
        <v>0611863744100</v>
      </c>
      <c r="B10758" t="str">
        <f>"CN5307"</f>
        <v>CN5307</v>
      </c>
      <c r="C10758" t="s">
        <v>10539</v>
      </c>
    </row>
    <row r="10759" spans="1:3" x14ac:dyDescent="0.25">
      <c r="A10759" t="str">
        <f>"0611863745050"</f>
        <v>0611863745050</v>
      </c>
      <c r="B10759" t="str">
        <f>"CR3939"</f>
        <v>CR3939</v>
      </c>
      <c r="C10759" t="s">
        <v>10540</v>
      </c>
    </row>
    <row r="10760" spans="1:3" x14ac:dyDescent="0.25">
      <c r="A10760" t="str">
        <f>"0611863746100"</f>
        <v>0611863746100</v>
      </c>
      <c r="B10760" t="str">
        <f>"CN5305"</f>
        <v>CN5305</v>
      </c>
      <c r="C10760" t="s">
        <v>10541</v>
      </c>
    </row>
    <row r="10761" spans="1:3" x14ac:dyDescent="0.25">
      <c r="A10761" t="str">
        <f>"0611863748050"</f>
        <v>0611863748050</v>
      </c>
      <c r="B10761" t="str">
        <f>"CR3819"</f>
        <v>CR3819</v>
      </c>
      <c r="C10761" t="s">
        <v>10542</v>
      </c>
    </row>
    <row r="10762" spans="1:3" x14ac:dyDescent="0.25">
      <c r="A10762" t="str">
        <f>"0611863749100"</f>
        <v>0611863749100</v>
      </c>
      <c r="B10762" t="str">
        <f>"CN5308"</f>
        <v>CN5308</v>
      </c>
      <c r="C10762" t="s">
        <v>10543</v>
      </c>
    </row>
    <row r="10763" spans="1:3" x14ac:dyDescent="0.25">
      <c r="A10763" t="str">
        <f>"0611863750050"</f>
        <v>0611863750050</v>
      </c>
      <c r="B10763" t="str">
        <f>"CR3821"</f>
        <v>CR3821</v>
      </c>
      <c r="C10763" t="s">
        <v>13939</v>
      </c>
    </row>
    <row r="10764" spans="1:3" x14ac:dyDescent="0.25">
      <c r="A10764" t="str">
        <f>"0611863751100"</f>
        <v>0611863751100</v>
      </c>
      <c r="B10764" t="str">
        <f>"CN5309"</f>
        <v>CN5309</v>
      </c>
      <c r="C10764" t="s">
        <v>10544</v>
      </c>
    </row>
    <row r="10765" spans="1:3" x14ac:dyDescent="0.25">
      <c r="A10765" t="str">
        <f>"0611863753100"</f>
        <v>0611863753100</v>
      </c>
      <c r="B10765" t="str">
        <f>"CN5310"</f>
        <v>CN5310</v>
      </c>
      <c r="C10765" t="s">
        <v>10545</v>
      </c>
    </row>
    <row r="10766" spans="1:3" x14ac:dyDescent="0.25">
      <c r="A10766" t="str">
        <f>"0611838383100"</f>
        <v>0611838383100</v>
      </c>
      <c r="B10766" t="str">
        <f>"LH6400"</f>
        <v>LH6400</v>
      </c>
      <c r="C10766" t="s">
        <v>10546</v>
      </c>
    </row>
    <row r="10767" spans="1:3" x14ac:dyDescent="0.25">
      <c r="A10767" t="str">
        <f>"0611838384025"</f>
        <v>0611838384025</v>
      </c>
      <c r="B10767" t="str">
        <f>"MC0607"</f>
        <v>MC0607</v>
      </c>
      <c r="C10767" t="s">
        <v>10547</v>
      </c>
    </row>
    <row r="10768" spans="1:3" x14ac:dyDescent="0.25">
      <c r="A10768" t="str">
        <f>"0611863754050"</f>
        <v>0611863754050</v>
      </c>
      <c r="B10768" t="str">
        <f>"CR4437"</f>
        <v>CR4437</v>
      </c>
      <c r="C10768" t="s">
        <v>10548</v>
      </c>
    </row>
    <row r="10769" spans="1:3" x14ac:dyDescent="0.25">
      <c r="A10769" t="str">
        <f>"0611863755100"</f>
        <v>0611863755100</v>
      </c>
      <c r="B10769" t="str">
        <f>"CN5344"</f>
        <v>CN5344</v>
      </c>
      <c r="C10769" t="s">
        <v>10549</v>
      </c>
    </row>
    <row r="10770" spans="1:3" x14ac:dyDescent="0.25">
      <c r="A10770" t="str">
        <f>"0611838385025"</f>
        <v>0611838385025</v>
      </c>
      <c r="B10770" t="str">
        <f>"MC2961"</f>
        <v>MC2961</v>
      </c>
      <c r="C10770" t="s">
        <v>10550</v>
      </c>
    </row>
    <row r="10771" spans="1:3" x14ac:dyDescent="0.25">
      <c r="A10771" t="str">
        <f>"0611863756050"</f>
        <v>0611863756050</v>
      </c>
      <c r="B10771" t="str">
        <f>"CE1011"</f>
        <v>CE1011</v>
      </c>
      <c r="C10771" t="s">
        <v>10551</v>
      </c>
    </row>
    <row r="10772" spans="1:3" x14ac:dyDescent="0.25">
      <c r="A10772" t="str">
        <f>"0611838386100"</f>
        <v>0611838386100</v>
      </c>
      <c r="B10772" t="str">
        <f>"LH6401"</f>
        <v>LH6401</v>
      </c>
      <c r="C10772" t="s">
        <v>10552</v>
      </c>
    </row>
    <row r="10773" spans="1:3" x14ac:dyDescent="0.25">
      <c r="A10773" t="str">
        <f>"0611838387025"</f>
        <v>0611838387025</v>
      </c>
      <c r="B10773" t="str">
        <f>"MC0608"</f>
        <v>MC0608</v>
      </c>
      <c r="C10773" t="s">
        <v>10553</v>
      </c>
    </row>
    <row r="10774" spans="1:3" x14ac:dyDescent="0.25">
      <c r="A10774" t="str">
        <f>"0611863757050"</f>
        <v>0611863757050</v>
      </c>
      <c r="B10774" t="str">
        <f>"CR4433"</f>
        <v>CR4433</v>
      </c>
      <c r="C10774" t="s">
        <v>10554</v>
      </c>
    </row>
    <row r="10775" spans="1:3" x14ac:dyDescent="0.25">
      <c r="A10775" t="str">
        <f>"0611838388025"</f>
        <v>0611838388025</v>
      </c>
      <c r="B10775" t="str">
        <f>"MC0595"</f>
        <v>MC0595</v>
      </c>
      <c r="C10775" t="s">
        <v>10555</v>
      </c>
    </row>
    <row r="10776" spans="1:3" x14ac:dyDescent="0.25">
      <c r="A10776" t="str">
        <f>"0611838390025"</f>
        <v>0611838390025</v>
      </c>
      <c r="B10776" t="str">
        <f>"MQ6062"</f>
        <v>MQ6062</v>
      </c>
      <c r="C10776" t="s">
        <v>10556</v>
      </c>
    </row>
    <row r="10777" spans="1:3" x14ac:dyDescent="0.25">
      <c r="A10777" t="str">
        <f>"0611838391025"</f>
        <v>0611838391025</v>
      </c>
      <c r="B10777" t="str">
        <f>"MQ6063"</f>
        <v>MQ6063</v>
      </c>
      <c r="C10777" t="s">
        <v>10557</v>
      </c>
    </row>
    <row r="10778" spans="1:3" x14ac:dyDescent="0.25">
      <c r="A10778" t="str">
        <f>"0611838393025"</f>
        <v>0611838393025</v>
      </c>
      <c r="B10778" t="str">
        <f>"MQ6064"</f>
        <v>MQ6064</v>
      </c>
      <c r="C10778" t="s">
        <v>10558</v>
      </c>
    </row>
    <row r="10779" spans="1:3" x14ac:dyDescent="0.25">
      <c r="A10779" t="str">
        <f>"0611838394025"</f>
        <v>0611838394025</v>
      </c>
      <c r="B10779" t="str">
        <f>"MQ6065"</f>
        <v>MQ6065</v>
      </c>
      <c r="C10779" t="s">
        <v>10559</v>
      </c>
    </row>
    <row r="10780" spans="1:3" x14ac:dyDescent="0.25">
      <c r="A10780" t="str">
        <f>"0611838399025"</f>
        <v>0611838399025</v>
      </c>
      <c r="B10780" t="str">
        <f>"MQ0321"</f>
        <v>MQ0321</v>
      </c>
      <c r="C10780" t="s">
        <v>10560</v>
      </c>
    </row>
    <row r="10781" spans="1:3" x14ac:dyDescent="0.25">
      <c r="A10781" t="str">
        <f>"0611863761100"</f>
        <v>0611863761100</v>
      </c>
      <c r="B10781" t="str">
        <f>"CN5312"</f>
        <v>CN5312</v>
      </c>
      <c r="C10781" t="s">
        <v>10561</v>
      </c>
    </row>
    <row r="10782" spans="1:3" x14ac:dyDescent="0.25">
      <c r="A10782" t="str">
        <f>"0611838401025"</f>
        <v>0611838401025</v>
      </c>
      <c r="B10782" t="str">
        <f>"MQ0322"</f>
        <v>MQ0322</v>
      </c>
      <c r="C10782" t="s">
        <v>10562</v>
      </c>
    </row>
    <row r="10783" spans="1:3" x14ac:dyDescent="0.25">
      <c r="A10783" t="str">
        <f>"0611863762050"</f>
        <v>0611863762050</v>
      </c>
      <c r="B10783" t="str">
        <f>"CR3945"</f>
        <v>CR3945</v>
      </c>
      <c r="C10783" t="s">
        <v>10563</v>
      </c>
    </row>
    <row r="10784" spans="1:3" x14ac:dyDescent="0.25">
      <c r="A10784" t="str">
        <f>"0611863763100"</f>
        <v>0611863763100</v>
      </c>
      <c r="B10784" t="str">
        <f>"CN5313"</f>
        <v>CN5313</v>
      </c>
      <c r="C10784" t="s">
        <v>10564</v>
      </c>
    </row>
    <row r="10785" spans="1:3" x14ac:dyDescent="0.25">
      <c r="A10785" t="str">
        <f>"0611838402025"</f>
        <v>0611838402025</v>
      </c>
      <c r="B10785" t="str">
        <f>"MQ0434"</f>
        <v>MQ0434</v>
      </c>
      <c r="C10785" t="s">
        <v>10565</v>
      </c>
    </row>
    <row r="10786" spans="1:3" x14ac:dyDescent="0.25">
      <c r="A10786" t="str">
        <f>"0611863765100"</f>
        <v>0611863765100</v>
      </c>
      <c r="B10786" t="str">
        <f>"CN5314"</f>
        <v>CN5314</v>
      </c>
      <c r="C10786" t="s">
        <v>10566</v>
      </c>
    </row>
    <row r="10787" spans="1:3" x14ac:dyDescent="0.25">
      <c r="A10787" t="str">
        <f>"0611838403025"</f>
        <v>0611838403025</v>
      </c>
      <c r="B10787" t="str">
        <f>"MQ0323"</f>
        <v>MQ0323</v>
      </c>
      <c r="C10787" t="s">
        <v>10567</v>
      </c>
    </row>
    <row r="10788" spans="1:3" x14ac:dyDescent="0.25">
      <c r="A10788" t="str">
        <f>"0611863766050"</f>
        <v>0611863766050</v>
      </c>
      <c r="B10788" t="str">
        <f>"CR3946"</f>
        <v>CR3946</v>
      </c>
      <c r="C10788" t="s">
        <v>10568</v>
      </c>
    </row>
    <row r="10789" spans="1:3" x14ac:dyDescent="0.25">
      <c r="A10789" t="str">
        <f>"0611838404025"</f>
        <v>0611838404025</v>
      </c>
      <c r="B10789" t="str">
        <f>"MQ0324"</f>
        <v>MQ0324</v>
      </c>
      <c r="C10789" t="s">
        <v>10569</v>
      </c>
    </row>
    <row r="10790" spans="1:3" x14ac:dyDescent="0.25">
      <c r="A10790" t="str">
        <f>"0611863768100"</f>
        <v>0611863768100</v>
      </c>
      <c r="B10790" t="str">
        <f>"CN2315"</f>
        <v>CN2315</v>
      </c>
      <c r="C10790" t="s">
        <v>10570</v>
      </c>
    </row>
    <row r="10791" spans="1:3" x14ac:dyDescent="0.25">
      <c r="A10791" t="str">
        <f>"0611857079025"</f>
        <v>0611857079025</v>
      </c>
      <c r="B10791" t="str">
        <f>"MC4415"</f>
        <v>MC4415</v>
      </c>
      <c r="C10791" t="s">
        <v>10571</v>
      </c>
    </row>
    <row r="10792" spans="1:3" x14ac:dyDescent="0.25">
      <c r="A10792" t="str">
        <f>"0611838405025"</f>
        <v>0611838405025</v>
      </c>
      <c r="B10792" t="str">
        <f>"MQ0435"</f>
        <v>MQ0435</v>
      </c>
      <c r="C10792" t="s">
        <v>10572</v>
      </c>
    </row>
    <row r="10793" spans="1:3" x14ac:dyDescent="0.25">
      <c r="A10793" t="str">
        <f>"0611863769100"</f>
        <v>0611863769100</v>
      </c>
      <c r="B10793" t="str">
        <f>"CN5316"</f>
        <v>CN5316</v>
      </c>
      <c r="C10793" t="s">
        <v>10573</v>
      </c>
    </row>
    <row r="10794" spans="1:3" x14ac:dyDescent="0.25">
      <c r="A10794" t="str">
        <f>"0611838406025"</f>
        <v>0611838406025</v>
      </c>
      <c r="B10794" t="str">
        <f>"MQ0325"</f>
        <v>MQ0325</v>
      </c>
      <c r="C10794" t="s">
        <v>10574</v>
      </c>
    </row>
    <row r="10795" spans="1:3" x14ac:dyDescent="0.25">
      <c r="A10795" t="str">
        <f>"0611838407025"</f>
        <v>0611838407025</v>
      </c>
      <c r="B10795" t="str">
        <f>"MQ0436"</f>
        <v>MQ0436</v>
      </c>
      <c r="C10795" t="s">
        <v>10575</v>
      </c>
    </row>
    <row r="10796" spans="1:3" x14ac:dyDescent="0.25">
      <c r="A10796" t="str">
        <f>"0611863773100"</f>
        <v>0611863773100</v>
      </c>
      <c r="B10796" t="str">
        <f>"CN5318"</f>
        <v>CN5318</v>
      </c>
      <c r="C10796" t="s">
        <v>10576</v>
      </c>
    </row>
    <row r="10797" spans="1:3" x14ac:dyDescent="0.25">
      <c r="A10797" t="str">
        <f>"0611863774050"</f>
        <v>0611863774050</v>
      </c>
      <c r="B10797" t="str">
        <f>"CR3942"</f>
        <v>CR3942</v>
      </c>
      <c r="C10797" t="s">
        <v>10577</v>
      </c>
    </row>
    <row r="10798" spans="1:3" x14ac:dyDescent="0.25">
      <c r="A10798" t="str">
        <f>"0611863775100"</f>
        <v>0611863775100</v>
      </c>
      <c r="B10798" t="str">
        <f>"CN5319"</f>
        <v>CN5319</v>
      </c>
      <c r="C10798" t="s">
        <v>10578</v>
      </c>
    </row>
    <row r="10799" spans="1:3" x14ac:dyDescent="0.25">
      <c r="A10799" t="str">
        <f>"0611863776050"</f>
        <v>0611863776050</v>
      </c>
      <c r="B10799" t="str">
        <f>"CR3940"</f>
        <v>CR3940</v>
      </c>
      <c r="C10799" t="s">
        <v>10579</v>
      </c>
    </row>
    <row r="10800" spans="1:3" x14ac:dyDescent="0.25">
      <c r="A10800" t="str">
        <f>"0611863777100"</f>
        <v>0611863777100</v>
      </c>
      <c r="B10800" t="str">
        <f>"CN5320"</f>
        <v>CN5320</v>
      </c>
      <c r="C10800" t="s">
        <v>10580</v>
      </c>
    </row>
    <row r="10801" spans="1:3" x14ac:dyDescent="0.25">
      <c r="A10801" t="str">
        <f>"0611863778050"</f>
        <v>0611863778050</v>
      </c>
      <c r="B10801" t="str">
        <f>"CR3941"</f>
        <v>CR3941</v>
      </c>
      <c r="C10801" t="s">
        <v>10581</v>
      </c>
    </row>
    <row r="10802" spans="1:3" x14ac:dyDescent="0.25">
      <c r="A10802" t="str">
        <f>"0611863779100"</f>
        <v>0611863779100</v>
      </c>
      <c r="B10802" t="str">
        <f>"CN2316"</f>
        <v>CN2316</v>
      </c>
      <c r="C10802" t="s">
        <v>10582</v>
      </c>
    </row>
    <row r="10803" spans="1:3" x14ac:dyDescent="0.25">
      <c r="A10803" t="str">
        <f>"0611863780100"</f>
        <v>0611863780100</v>
      </c>
      <c r="B10803" t="str">
        <f>"CN5321"</f>
        <v>CN5321</v>
      </c>
      <c r="C10803" t="s">
        <v>10583</v>
      </c>
    </row>
    <row r="10804" spans="1:3" x14ac:dyDescent="0.25">
      <c r="A10804" t="str">
        <f>"0611863781050"</f>
        <v>0611863781050</v>
      </c>
      <c r="B10804" t="str">
        <f>"CR3943"</f>
        <v>CR3943</v>
      </c>
      <c r="C10804" t="s">
        <v>10584</v>
      </c>
    </row>
    <row r="10805" spans="1:3" x14ac:dyDescent="0.25">
      <c r="A10805" t="str">
        <f>"0611893655100"</f>
        <v>0611893655100</v>
      </c>
      <c r="B10805" t="str">
        <f>"CN5460"</f>
        <v>CN5460</v>
      </c>
      <c r="C10805" t="s">
        <v>10585</v>
      </c>
    </row>
    <row r="10806" spans="1:3" x14ac:dyDescent="0.25">
      <c r="A10806" t="str">
        <f>"0611863782100"</f>
        <v>0611863782100</v>
      </c>
      <c r="B10806" t="str">
        <f>"CN5322"</f>
        <v>CN5322</v>
      </c>
      <c r="C10806" t="s">
        <v>10586</v>
      </c>
    </row>
    <row r="10807" spans="1:3" x14ac:dyDescent="0.25">
      <c r="A10807" t="str">
        <f>"0611863783100"</f>
        <v>0611863783100</v>
      </c>
      <c r="B10807" t="str">
        <f>"CN5324"</f>
        <v>CN5324</v>
      </c>
      <c r="C10807" t="s">
        <v>10587</v>
      </c>
    </row>
    <row r="10808" spans="1:3" x14ac:dyDescent="0.25">
      <c r="A10808" t="str">
        <f>"0611838409025"</f>
        <v>0611838409025</v>
      </c>
      <c r="B10808" t="str">
        <f>"MQ0326"</f>
        <v>MQ0326</v>
      </c>
      <c r="C10808" t="s">
        <v>10588</v>
      </c>
    </row>
    <row r="10809" spans="1:3" x14ac:dyDescent="0.25">
      <c r="A10809" t="str">
        <f>"0611863784050"</f>
        <v>0611863784050</v>
      </c>
      <c r="B10809" t="str">
        <f>"CR3944"</f>
        <v>CR3944</v>
      </c>
      <c r="C10809" t="s">
        <v>10589</v>
      </c>
    </row>
    <row r="10810" spans="1:3" x14ac:dyDescent="0.25">
      <c r="A10810" t="str">
        <f>"0611863785100"</f>
        <v>0611863785100</v>
      </c>
      <c r="B10810" t="str">
        <f>"CN5323"</f>
        <v>CN5323</v>
      </c>
      <c r="C10810" t="s">
        <v>10590</v>
      </c>
    </row>
    <row r="10811" spans="1:3" x14ac:dyDescent="0.25">
      <c r="A10811" t="str">
        <f>"0611838410025"</f>
        <v>0611838410025</v>
      </c>
      <c r="B10811" t="str">
        <f>"MQ0437"</f>
        <v>MQ0437</v>
      </c>
      <c r="C10811" t="s">
        <v>10591</v>
      </c>
    </row>
    <row r="10812" spans="1:3" x14ac:dyDescent="0.25">
      <c r="A10812" t="str">
        <f>"0611863786050"</f>
        <v>0611863786050</v>
      </c>
      <c r="B10812" t="str">
        <f>"CR3254"</f>
        <v>CR3254</v>
      </c>
      <c r="C10812" t="s">
        <v>10592</v>
      </c>
    </row>
    <row r="10813" spans="1:3" x14ac:dyDescent="0.25">
      <c r="A10813" t="str">
        <f>"0611863787100"</f>
        <v>0611863787100</v>
      </c>
      <c r="B10813" t="str">
        <f>"CN5325"</f>
        <v>CN5325</v>
      </c>
      <c r="C10813" t="s">
        <v>10593</v>
      </c>
    </row>
    <row r="10814" spans="1:3" x14ac:dyDescent="0.25">
      <c r="A10814" t="str">
        <f>"0611838411025"</f>
        <v>0611838411025</v>
      </c>
      <c r="B10814" t="str">
        <f>"MQ0327"</f>
        <v>MQ0327</v>
      </c>
      <c r="C10814" t="s">
        <v>10594</v>
      </c>
    </row>
    <row r="10815" spans="1:3" x14ac:dyDescent="0.25">
      <c r="A10815" t="str">
        <f>"0611863788050"</f>
        <v>0611863788050</v>
      </c>
      <c r="B10815" t="str">
        <f>"CR4426"</f>
        <v>CR4426</v>
      </c>
      <c r="C10815" t="s">
        <v>10595</v>
      </c>
    </row>
    <row r="10816" spans="1:3" x14ac:dyDescent="0.25">
      <c r="A10816" t="str">
        <f>"0611863789050"</f>
        <v>0611863789050</v>
      </c>
      <c r="B10816" t="str">
        <f>"CR4427"</f>
        <v>CR4427</v>
      </c>
      <c r="C10816" t="s">
        <v>10596</v>
      </c>
    </row>
    <row r="10817" spans="1:3" x14ac:dyDescent="0.25">
      <c r="A10817" t="str">
        <f>"0611863790100"</f>
        <v>0611863790100</v>
      </c>
      <c r="B10817" t="str">
        <f>"CN2317"</f>
        <v>CN2317</v>
      </c>
      <c r="C10817" t="s">
        <v>10597</v>
      </c>
    </row>
    <row r="10818" spans="1:3" x14ac:dyDescent="0.25">
      <c r="A10818" t="str">
        <f>"0611857080025"</f>
        <v>0611857080025</v>
      </c>
      <c r="B10818" t="str">
        <f>"MC4416"</f>
        <v>MC4416</v>
      </c>
      <c r="C10818" t="s">
        <v>10598</v>
      </c>
    </row>
    <row r="10819" spans="1:3" x14ac:dyDescent="0.25">
      <c r="A10819" t="str">
        <f>"0611863791100"</f>
        <v>0611863791100</v>
      </c>
      <c r="B10819" t="str">
        <f>"CN5327"</f>
        <v>CN5327</v>
      </c>
      <c r="C10819" t="s">
        <v>10599</v>
      </c>
    </row>
    <row r="10820" spans="1:3" x14ac:dyDescent="0.25">
      <c r="A10820" t="str">
        <f>"0611838414025"</f>
        <v>0611838414025</v>
      </c>
      <c r="B10820" t="str">
        <f>"MQ0328"</f>
        <v>MQ0328</v>
      </c>
      <c r="C10820" t="s">
        <v>10600</v>
      </c>
    </row>
    <row r="10821" spans="1:3" x14ac:dyDescent="0.25">
      <c r="A10821" t="str">
        <f>"0611863792050"</f>
        <v>0611863792050</v>
      </c>
      <c r="B10821" t="str">
        <f>"CR3947"</f>
        <v>CR3947</v>
      </c>
      <c r="C10821" t="s">
        <v>10601</v>
      </c>
    </row>
    <row r="10822" spans="1:3" x14ac:dyDescent="0.25">
      <c r="A10822" t="str">
        <f>"0611863793100"</f>
        <v>0611863793100</v>
      </c>
      <c r="B10822" t="str">
        <f>"CN5326"</f>
        <v>CN5326</v>
      </c>
      <c r="C10822" t="s">
        <v>10602</v>
      </c>
    </row>
    <row r="10823" spans="1:3" x14ac:dyDescent="0.25">
      <c r="A10823" t="str">
        <f>"0611838415025"</f>
        <v>0611838415025</v>
      </c>
      <c r="B10823" t="str">
        <f>"MQ0439"</f>
        <v>MQ0439</v>
      </c>
      <c r="C10823" t="s">
        <v>10603</v>
      </c>
    </row>
    <row r="10824" spans="1:3" x14ac:dyDescent="0.25">
      <c r="A10824" t="str">
        <f>"0611863794100"</f>
        <v>0611863794100</v>
      </c>
      <c r="B10824" t="str">
        <f>"CN5297"</f>
        <v>CN5297</v>
      </c>
      <c r="C10824" t="s">
        <v>10604</v>
      </c>
    </row>
    <row r="10825" spans="1:3" x14ac:dyDescent="0.25">
      <c r="A10825" t="str">
        <f>"0611838417025"</f>
        <v>0611838417025</v>
      </c>
      <c r="B10825" t="str">
        <f>"MC2053"</f>
        <v>MC2053</v>
      </c>
      <c r="C10825" t="s">
        <v>10605</v>
      </c>
    </row>
    <row r="10826" spans="1:3" x14ac:dyDescent="0.25">
      <c r="A10826" t="str">
        <f>"0611863795050"</f>
        <v>0611863795050</v>
      </c>
      <c r="B10826" t="str">
        <f>"CR4417"</f>
        <v>CR4417</v>
      </c>
      <c r="C10826" t="s">
        <v>10606</v>
      </c>
    </row>
    <row r="10827" spans="1:3" x14ac:dyDescent="0.25">
      <c r="A10827" t="str">
        <f>"0611884394025"</f>
        <v>0611884394025</v>
      </c>
      <c r="B10827" t="str">
        <f>"MQ7453"</f>
        <v>MQ7453</v>
      </c>
      <c r="C10827" t="s">
        <v>10607</v>
      </c>
    </row>
    <row r="10828" spans="1:3" x14ac:dyDescent="0.25">
      <c r="A10828" t="str">
        <f>"0611906905025"</f>
        <v>0611906905025</v>
      </c>
      <c r="B10828" t="str">
        <f>"MQ7607"</f>
        <v>MQ7607</v>
      </c>
      <c r="C10828" t="s">
        <v>10608</v>
      </c>
    </row>
    <row r="10829" spans="1:3" x14ac:dyDescent="0.25">
      <c r="A10829" t="str">
        <f>"0611884395025"</f>
        <v>0611884395025</v>
      </c>
      <c r="B10829" t="str">
        <f>"MQ0841"</f>
        <v>MQ0841</v>
      </c>
      <c r="C10829" t="s">
        <v>10609</v>
      </c>
    </row>
    <row r="10830" spans="1:3" x14ac:dyDescent="0.25">
      <c r="A10830" t="str">
        <f>"0611884396025"</f>
        <v>0611884396025</v>
      </c>
      <c r="B10830" t="str">
        <f>"MQ7186"</f>
        <v>MQ7186</v>
      </c>
      <c r="C10830" t="s">
        <v>10610</v>
      </c>
    </row>
    <row r="10831" spans="1:3" x14ac:dyDescent="0.25">
      <c r="A10831" t="str">
        <f>"0611884397025"</f>
        <v>0611884397025</v>
      </c>
      <c r="B10831" t="str">
        <f>"MQ0842"</f>
        <v>MQ0842</v>
      </c>
      <c r="C10831" t="s">
        <v>10611</v>
      </c>
    </row>
    <row r="10832" spans="1:3" x14ac:dyDescent="0.25">
      <c r="A10832" t="str">
        <f>"0611884398025"</f>
        <v>0611884398025</v>
      </c>
      <c r="B10832" t="str">
        <f>"MQ7454"</f>
        <v>MQ7454</v>
      </c>
      <c r="C10832" t="s">
        <v>10612</v>
      </c>
    </row>
    <row r="10833" spans="1:3" x14ac:dyDescent="0.25">
      <c r="A10833" t="str">
        <f>"0611884399025"</f>
        <v>0611884399025</v>
      </c>
      <c r="B10833" t="str">
        <f>"MQ7455"</f>
        <v>MQ7455</v>
      </c>
      <c r="C10833" t="s">
        <v>10613</v>
      </c>
    </row>
    <row r="10834" spans="1:3" x14ac:dyDescent="0.25">
      <c r="A10834" t="str">
        <f>"0611838419025"</f>
        <v>0611838419025</v>
      </c>
      <c r="B10834" t="str">
        <f>"MC1611"</f>
        <v>MC1611</v>
      </c>
      <c r="C10834" t="s">
        <v>10614</v>
      </c>
    </row>
    <row r="10835" spans="1:3" x14ac:dyDescent="0.25">
      <c r="A10835" t="str">
        <f>"0611838437100"</f>
        <v>0611838437100</v>
      </c>
      <c r="B10835" t="str">
        <f>"LK0349"</f>
        <v>LK0349</v>
      </c>
      <c r="C10835" t="s">
        <v>10615</v>
      </c>
    </row>
    <row r="10836" spans="1:3" x14ac:dyDescent="0.25">
      <c r="A10836" t="str">
        <f>"0611838420025"</f>
        <v>0611838420025</v>
      </c>
      <c r="B10836" t="str">
        <f>"MQ6066"</f>
        <v>MQ6066</v>
      </c>
      <c r="C10836" t="s">
        <v>10616</v>
      </c>
    </row>
    <row r="10837" spans="1:3" x14ac:dyDescent="0.25">
      <c r="A10837" t="str">
        <f>"0611863796050"</f>
        <v>0611863796050</v>
      </c>
      <c r="B10837" t="str">
        <f>"CE1703"</f>
        <v>CE1703</v>
      </c>
      <c r="C10837" t="s">
        <v>10617</v>
      </c>
    </row>
    <row r="10838" spans="1:3" x14ac:dyDescent="0.25">
      <c r="A10838" t="str">
        <f>"0611884400025"</f>
        <v>0611884400025</v>
      </c>
      <c r="B10838" t="str">
        <f>"MQ0844"</f>
        <v>MQ0844</v>
      </c>
      <c r="C10838" t="s">
        <v>10618</v>
      </c>
    </row>
    <row r="10839" spans="1:3" x14ac:dyDescent="0.25">
      <c r="A10839" t="str">
        <f>"0611838421025"</f>
        <v>0611838421025</v>
      </c>
      <c r="B10839" t="str">
        <f>"MQ6067"</f>
        <v>MQ6067</v>
      </c>
      <c r="C10839" t="s">
        <v>10619</v>
      </c>
    </row>
    <row r="10840" spans="1:3" x14ac:dyDescent="0.25">
      <c r="A10840" t="str">
        <f>"0611863797050"</f>
        <v>0611863797050</v>
      </c>
      <c r="B10840" t="str">
        <f>"CE1704"</f>
        <v>CE1704</v>
      </c>
      <c r="C10840" t="s">
        <v>10620</v>
      </c>
    </row>
    <row r="10841" spans="1:3" x14ac:dyDescent="0.25">
      <c r="A10841" t="str">
        <f>"0611884401025"</f>
        <v>0611884401025</v>
      </c>
      <c r="B10841" t="str">
        <f>"MQ0845"</f>
        <v>MQ0845</v>
      </c>
      <c r="C10841" t="s">
        <v>10621</v>
      </c>
    </row>
    <row r="10842" spans="1:3" x14ac:dyDescent="0.25">
      <c r="A10842" t="str">
        <f>"0611838422025"</f>
        <v>0611838422025</v>
      </c>
      <c r="B10842" t="str">
        <f>"MQ6068"</f>
        <v>MQ6068</v>
      </c>
      <c r="C10842" t="s">
        <v>10622</v>
      </c>
    </row>
    <row r="10843" spans="1:3" x14ac:dyDescent="0.25">
      <c r="A10843" t="str">
        <f>"0611863798050"</f>
        <v>0611863798050</v>
      </c>
      <c r="B10843" t="str">
        <f>"CE1705"</f>
        <v>CE1705</v>
      </c>
      <c r="C10843" t="s">
        <v>10623</v>
      </c>
    </row>
    <row r="10844" spans="1:3" x14ac:dyDescent="0.25">
      <c r="A10844" t="str">
        <f>"0611838423025"</f>
        <v>0611838423025</v>
      </c>
      <c r="B10844" t="str">
        <f>"MQ6069"</f>
        <v>MQ6069</v>
      </c>
      <c r="C10844" t="s">
        <v>10624</v>
      </c>
    </row>
    <row r="10845" spans="1:3" x14ac:dyDescent="0.25">
      <c r="A10845" t="str">
        <f>"0611863799050"</f>
        <v>0611863799050</v>
      </c>
      <c r="B10845" t="str">
        <f>"CE1706"</f>
        <v>CE1706</v>
      </c>
      <c r="C10845" t="s">
        <v>10625</v>
      </c>
    </row>
    <row r="10846" spans="1:3" x14ac:dyDescent="0.25">
      <c r="A10846" t="str">
        <f>"0611838424025"</f>
        <v>0611838424025</v>
      </c>
      <c r="B10846" t="str">
        <f>"MQ6070"</f>
        <v>MQ6070</v>
      </c>
      <c r="C10846" t="s">
        <v>10626</v>
      </c>
    </row>
    <row r="10847" spans="1:3" x14ac:dyDescent="0.25">
      <c r="A10847" t="str">
        <f>"0611863800050"</f>
        <v>0611863800050</v>
      </c>
      <c r="B10847" t="str">
        <f>"CE1707"</f>
        <v>CE1707</v>
      </c>
      <c r="C10847" t="s">
        <v>10627</v>
      </c>
    </row>
    <row r="10848" spans="1:3" x14ac:dyDescent="0.25">
      <c r="A10848" t="str">
        <f>"0611906906025"</f>
        <v>0611906906025</v>
      </c>
      <c r="B10848" t="str">
        <f>"MC4569"</f>
        <v>MC4569</v>
      </c>
      <c r="C10848" t="s">
        <v>10628</v>
      </c>
    </row>
    <row r="10849" spans="1:3" x14ac:dyDescent="0.25">
      <c r="A10849" t="str">
        <f>"0611838425025"</f>
        <v>0611838425025</v>
      </c>
      <c r="B10849" t="str">
        <f>"MQ0440"</f>
        <v>MQ0440</v>
      </c>
      <c r="C10849" t="s">
        <v>10629</v>
      </c>
    </row>
    <row r="10850" spans="1:3" x14ac:dyDescent="0.25">
      <c r="A10850" t="str">
        <f>"0611838426025"</f>
        <v>0611838426025</v>
      </c>
      <c r="B10850" t="str">
        <f>"MQ0441"</f>
        <v>MQ0441</v>
      </c>
      <c r="C10850" t="s">
        <v>10630</v>
      </c>
    </row>
    <row r="10851" spans="1:3" x14ac:dyDescent="0.25">
      <c r="A10851" t="str">
        <f>"0611838427025"</f>
        <v>0611838427025</v>
      </c>
      <c r="B10851" t="str">
        <f>"MQ0442"</f>
        <v>MQ0442</v>
      </c>
      <c r="C10851" t="s">
        <v>10631</v>
      </c>
    </row>
    <row r="10852" spans="1:3" x14ac:dyDescent="0.25">
      <c r="A10852" t="str">
        <f>"0611838428025"</f>
        <v>0611838428025</v>
      </c>
      <c r="B10852" t="str">
        <f>"MQ0727"</f>
        <v>MQ0727</v>
      </c>
      <c r="C10852" t="s">
        <v>10632</v>
      </c>
    </row>
    <row r="10853" spans="1:3" x14ac:dyDescent="0.25">
      <c r="A10853" t="str">
        <f>"0611838429025"</f>
        <v>0611838429025</v>
      </c>
      <c r="B10853" t="str">
        <f>"MQ0657"</f>
        <v>MQ0657</v>
      </c>
      <c r="C10853" t="s">
        <v>10633</v>
      </c>
    </row>
    <row r="10854" spans="1:3" x14ac:dyDescent="0.25">
      <c r="A10854" t="str">
        <f>"0611838430025"</f>
        <v>0611838430025</v>
      </c>
      <c r="B10854" t="str">
        <f>"MQ0443"</f>
        <v>MQ0443</v>
      </c>
      <c r="C10854" t="s">
        <v>10634</v>
      </c>
    </row>
    <row r="10855" spans="1:3" x14ac:dyDescent="0.25">
      <c r="A10855" t="str">
        <f>"0611838431025"</f>
        <v>0611838431025</v>
      </c>
      <c r="B10855" t="str">
        <f>"MC2047"</f>
        <v>MC2047</v>
      </c>
      <c r="C10855" t="s">
        <v>10635</v>
      </c>
    </row>
    <row r="10856" spans="1:3" x14ac:dyDescent="0.25">
      <c r="A10856" t="str">
        <f>"0611863801050"</f>
        <v>0611863801050</v>
      </c>
      <c r="B10856" t="str">
        <f>"CR4429"</f>
        <v>CR4429</v>
      </c>
      <c r="C10856" t="s">
        <v>10636</v>
      </c>
    </row>
    <row r="10857" spans="1:3" x14ac:dyDescent="0.25">
      <c r="A10857" t="str">
        <f>"0611863802100"</f>
        <v>0611863802100</v>
      </c>
      <c r="B10857" t="str">
        <f>"CN2386"</f>
        <v>CN2386</v>
      </c>
      <c r="C10857" t="s">
        <v>10637</v>
      </c>
    </row>
    <row r="10858" spans="1:3" x14ac:dyDescent="0.25">
      <c r="A10858" t="str">
        <f>"0611838432025"</f>
        <v>0611838432025</v>
      </c>
      <c r="B10858" t="str">
        <f>"MC3306"</f>
        <v>MC3306</v>
      </c>
      <c r="C10858" t="s">
        <v>10638</v>
      </c>
    </row>
    <row r="10859" spans="1:3" x14ac:dyDescent="0.25">
      <c r="A10859" t="str">
        <f>"0611838433025"</f>
        <v>0611838433025</v>
      </c>
      <c r="B10859" t="str">
        <f>"MC4053"</f>
        <v>MC4053</v>
      </c>
      <c r="C10859" t="s">
        <v>10639</v>
      </c>
    </row>
    <row r="10860" spans="1:3" x14ac:dyDescent="0.25">
      <c r="A10860" t="str">
        <f>"0611838435025"</f>
        <v>0611838435025</v>
      </c>
      <c r="B10860" t="str">
        <f>"MC2050"</f>
        <v>MC2050</v>
      </c>
      <c r="C10860" t="s">
        <v>10640</v>
      </c>
    </row>
    <row r="10861" spans="1:3" x14ac:dyDescent="0.25">
      <c r="A10861" t="str">
        <f>"0611838436025"</f>
        <v>0611838436025</v>
      </c>
      <c r="B10861" t="str">
        <f>"MC0900"</f>
        <v>MC0900</v>
      </c>
      <c r="C10861" t="s">
        <v>10641</v>
      </c>
    </row>
    <row r="10862" spans="1:3" x14ac:dyDescent="0.25">
      <c r="A10862" t="str">
        <f>"0611906907025"</f>
        <v>0611906907025</v>
      </c>
      <c r="B10862" t="str">
        <f>"MQ0335"</f>
        <v>MQ0335</v>
      </c>
      <c r="C10862" t="s">
        <v>10642</v>
      </c>
    </row>
    <row r="10863" spans="1:3" x14ac:dyDescent="0.25">
      <c r="A10863" t="str">
        <f>"0611863803050"</f>
        <v>0611863803050</v>
      </c>
      <c r="B10863" t="str">
        <f>"CE1007"</f>
        <v>CE1007</v>
      </c>
      <c r="C10863" t="s">
        <v>10643</v>
      </c>
    </row>
    <row r="10864" spans="1:3" x14ac:dyDescent="0.25">
      <c r="A10864" t="str">
        <f>"0611863804050"</f>
        <v>0611863804050</v>
      </c>
      <c r="B10864" t="str">
        <f>"CE1008"</f>
        <v>CE1008</v>
      </c>
      <c r="C10864" t="s">
        <v>10644</v>
      </c>
    </row>
    <row r="10865" spans="1:3" x14ac:dyDescent="0.25">
      <c r="A10865" t="str">
        <f>"0611857081100"</f>
        <v>0611857081100</v>
      </c>
      <c r="B10865" t="str">
        <f>"LQ6275"</f>
        <v>LQ6275</v>
      </c>
      <c r="C10865" t="s">
        <v>10646</v>
      </c>
    </row>
    <row r="10866" spans="1:3" x14ac:dyDescent="0.25">
      <c r="A10866" t="str">
        <f>"0611906908100"</f>
        <v>0611906908100</v>
      </c>
      <c r="B10866" t="str">
        <f>"LQ6330"</f>
        <v>LQ6330</v>
      </c>
      <c r="C10866" t="s">
        <v>10647</v>
      </c>
    </row>
    <row r="10867" spans="1:3" x14ac:dyDescent="0.25">
      <c r="A10867" t="str">
        <f>"0611838439100"</f>
        <v>0611838439100</v>
      </c>
      <c r="B10867" t="str">
        <f>"LQ6127"</f>
        <v>LQ6127</v>
      </c>
      <c r="C10867" t="s">
        <v>10648</v>
      </c>
    </row>
    <row r="10868" spans="1:3" x14ac:dyDescent="0.25">
      <c r="A10868" t="str">
        <f>"0611838440100"</f>
        <v>0611838440100</v>
      </c>
      <c r="B10868" t="str">
        <f>"LQ6129"</f>
        <v>LQ6129</v>
      </c>
      <c r="C10868" t="s">
        <v>10649</v>
      </c>
    </row>
    <row r="10869" spans="1:3" x14ac:dyDescent="0.25">
      <c r="A10869" t="str">
        <f>"0611863805050"</f>
        <v>0611863805050</v>
      </c>
      <c r="B10869" t="str">
        <f>"CR2523"</f>
        <v>CR2523</v>
      </c>
      <c r="C10869" t="s">
        <v>10650</v>
      </c>
    </row>
    <row r="10870" spans="1:3" x14ac:dyDescent="0.25">
      <c r="A10870" t="str">
        <f>"0611863806050"</f>
        <v>0611863806050</v>
      </c>
      <c r="B10870" t="str">
        <f>"CR2519"</f>
        <v>CR2519</v>
      </c>
      <c r="C10870" t="s">
        <v>10651</v>
      </c>
    </row>
    <row r="10871" spans="1:3" x14ac:dyDescent="0.25">
      <c r="A10871" t="str">
        <f>"0611863807050"</f>
        <v>0611863807050</v>
      </c>
      <c r="B10871" t="str">
        <f>"CR2520"</f>
        <v>CR2520</v>
      </c>
      <c r="C10871" t="s">
        <v>10652</v>
      </c>
    </row>
    <row r="10872" spans="1:3" x14ac:dyDescent="0.25">
      <c r="A10872" t="str">
        <f>"0611863808050"</f>
        <v>0611863808050</v>
      </c>
      <c r="B10872" t="str">
        <f>"CR2522"</f>
        <v>CR2522</v>
      </c>
      <c r="C10872" t="s">
        <v>10653</v>
      </c>
    </row>
    <row r="10873" spans="1:3" x14ac:dyDescent="0.25">
      <c r="A10873" t="str">
        <f>"0611863809050"</f>
        <v>0611863809050</v>
      </c>
      <c r="B10873" t="str">
        <f>"CR2521"</f>
        <v>CR2521</v>
      </c>
      <c r="C10873" t="s">
        <v>10654</v>
      </c>
    </row>
    <row r="10874" spans="1:3" x14ac:dyDescent="0.25">
      <c r="A10874" t="str">
        <f>"0611838441100"</f>
        <v>0611838441100</v>
      </c>
      <c r="B10874" t="str">
        <f>"LH8115"</f>
        <v>LH8115</v>
      </c>
      <c r="C10874" t="s">
        <v>10655</v>
      </c>
    </row>
    <row r="10875" spans="1:3" x14ac:dyDescent="0.25">
      <c r="A10875" t="str">
        <f>"0611838446100"</f>
        <v>0611838446100</v>
      </c>
      <c r="B10875" t="str">
        <f>"LK6446"</f>
        <v>LK6446</v>
      </c>
      <c r="C10875" t="s">
        <v>10656</v>
      </c>
    </row>
    <row r="10876" spans="1:3" x14ac:dyDescent="0.25">
      <c r="A10876" t="str">
        <f>"0611838447100"</f>
        <v>0611838447100</v>
      </c>
      <c r="B10876" t="str">
        <f>"LK6272"</f>
        <v>LK6272</v>
      </c>
      <c r="C10876" t="s">
        <v>10657</v>
      </c>
    </row>
    <row r="10877" spans="1:3" x14ac:dyDescent="0.25">
      <c r="A10877" t="str">
        <f>"0611838449100"</f>
        <v>0611838449100</v>
      </c>
      <c r="B10877" t="str">
        <f>"LK6273"</f>
        <v>LK6273</v>
      </c>
      <c r="C10877" t="s">
        <v>10658</v>
      </c>
    </row>
    <row r="10878" spans="1:3" x14ac:dyDescent="0.25">
      <c r="A10878" t="str">
        <f>"0611838448100"</f>
        <v>0611838448100</v>
      </c>
      <c r="B10878" t="str">
        <f>"LK6274"</f>
        <v>LK6274</v>
      </c>
      <c r="C10878" t="s">
        <v>10659</v>
      </c>
    </row>
    <row r="10879" spans="1:3" x14ac:dyDescent="0.25">
      <c r="A10879" t="str">
        <f>"0611838450100"</f>
        <v>0611838450100</v>
      </c>
      <c r="B10879" t="str">
        <f>"LK6275"</f>
        <v>LK6275</v>
      </c>
      <c r="C10879" t="s">
        <v>10660</v>
      </c>
    </row>
    <row r="10880" spans="1:3" x14ac:dyDescent="0.25">
      <c r="A10880" t="str">
        <f>"0611838451100"</f>
        <v>0611838451100</v>
      </c>
      <c r="B10880" t="str">
        <f>"LK6276"</f>
        <v>LK6276</v>
      </c>
      <c r="C10880" t="s">
        <v>10661</v>
      </c>
    </row>
    <row r="10881" spans="1:3" x14ac:dyDescent="0.25">
      <c r="A10881" t="str">
        <f>"0611893656100"</f>
        <v>0611893656100</v>
      </c>
      <c r="B10881" t="str">
        <f>"CN5498"</f>
        <v>CN5498</v>
      </c>
      <c r="C10881" t="s">
        <v>10662</v>
      </c>
    </row>
    <row r="10882" spans="1:3" x14ac:dyDescent="0.25">
      <c r="A10882" t="str">
        <f>"0611838453025"</f>
        <v>0611838453025</v>
      </c>
      <c r="B10882" t="str">
        <f>"MC4054"</f>
        <v>MC4054</v>
      </c>
      <c r="C10882" t="s">
        <v>10663</v>
      </c>
    </row>
    <row r="10883" spans="1:3" x14ac:dyDescent="0.25">
      <c r="A10883" t="str">
        <f>"0611863810050"</f>
        <v>0611863810050</v>
      </c>
      <c r="B10883" t="str">
        <f>"CE1014"</f>
        <v>CE1014</v>
      </c>
      <c r="C10883" t="s">
        <v>10664</v>
      </c>
    </row>
    <row r="10884" spans="1:3" x14ac:dyDescent="0.25">
      <c r="A10884" t="str">
        <f>"0611838454025"</f>
        <v>0611838454025</v>
      </c>
      <c r="B10884" t="str">
        <f>"MC0609"</f>
        <v>MC0609</v>
      </c>
      <c r="C10884" t="s">
        <v>10665</v>
      </c>
    </row>
    <row r="10885" spans="1:3" x14ac:dyDescent="0.25">
      <c r="A10885" t="str">
        <f>"0611863812050"</f>
        <v>0611863812050</v>
      </c>
      <c r="B10885" t="str">
        <f>"CR4438"</f>
        <v>CR4438</v>
      </c>
      <c r="C10885" t="s">
        <v>10666</v>
      </c>
    </row>
    <row r="10886" spans="1:3" x14ac:dyDescent="0.25">
      <c r="A10886" t="str">
        <f>"0611838455025"</f>
        <v>0611838455025</v>
      </c>
      <c r="B10886" t="str">
        <f>"MC4055"</f>
        <v>MC4055</v>
      </c>
      <c r="C10886" t="s">
        <v>10667</v>
      </c>
    </row>
    <row r="10887" spans="1:3" x14ac:dyDescent="0.25">
      <c r="A10887" t="str">
        <f>"0611863813100"</f>
        <v>0611863813100</v>
      </c>
      <c r="B10887" t="str">
        <f>"CN5347"</f>
        <v>CN5347</v>
      </c>
      <c r="C10887" t="s">
        <v>10668</v>
      </c>
    </row>
    <row r="10888" spans="1:3" x14ac:dyDescent="0.25">
      <c r="A10888" t="str">
        <f>"0611838456025"</f>
        <v>0611838456025</v>
      </c>
      <c r="B10888" t="str">
        <f>"MC0610"</f>
        <v>MC0610</v>
      </c>
      <c r="C10888" t="s">
        <v>10669</v>
      </c>
    </row>
    <row r="10889" spans="1:3" x14ac:dyDescent="0.25">
      <c r="A10889" t="str">
        <f>"0611863814050"</f>
        <v>0611863814050</v>
      </c>
      <c r="B10889" t="str">
        <f>"CE1015"</f>
        <v>CE1015</v>
      </c>
      <c r="C10889" t="s">
        <v>10670</v>
      </c>
    </row>
    <row r="10890" spans="1:3" x14ac:dyDescent="0.25">
      <c r="A10890" t="str">
        <f>"0611863815050"</f>
        <v>0611863815050</v>
      </c>
      <c r="B10890" t="str">
        <f>"CR4431"</f>
        <v>CR4431</v>
      </c>
      <c r="C10890" t="s">
        <v>10671</v>
      </c>
    </row>
    <row r="10891" spans="1:3" x14ac:dyDescent="0.25">
      <c r="A10891" t="str">
        <f>"0611838457025"</f>
        <v>0611838457025</v>
      </c>
      <c r="B10891" t="str">
        <f>"MC1332"</f>
        <v>MC1332</v>
      </c>
      <c r="C10891" t="s">
        <v>10672</v>
      </c>
    </row>
    <row r="10892" spans="1:3" x14ac:dyDescent="0.25">
      <c r="A10892" t="str">
        <f>"0611838458100"</f>
        <v>0611838458100</v>
      </c>
      <c r="B10892" t="str">
        <f>"LH6404"</f>
        <v>LH6404</v>
      </c>
      <c r="C10892" t="s">
        <v>10673</v>
      </c>
    </row>
    <row r="10893" spans="1:3" x14ac:dyDescent="0.25">
      <c r="A10893" t="str">
        <f>"0611838459025"</f>
        <v>0611838459025</v>
      </c>
      <c r="B10893" t="str">
        <f>"MQ0336"</f>
        <v>MQ0336</v>
      </c>
      <c r="C10893" t="s">
        <v>10674</v>
      </c>
    </row>
    <row r="10894" spans="1:3" x14ac:dyDescent="0.25">
      <c r="A10894" t="str">
        <f>"0611863816100"</f>
        <v>0611863816100</v>
      </c>
      <c r="B10894" t="str">
        <f>"CN5328"</f>
        <v>CN5328</v>
      </c>
      <c r="C10894" t="s">
        <v>10675</v>
      </c>
    </row>
    <row r="10895" spans="1:3" x14ac:dyDescent="0.25">
      <c r="A10895" t="str">
        <f>"0611863819100"</f>
        <v>0611863819100</v>
      </c>
      <c r="B10895" t="str">
        <f>"CN5330"</f>
        <v>CN5330</v>
      </c>
      <c r="C10895" t="s">
        <v>10676</v>
      </c>
    </row>
    <row r="10896" spans="1:3" x14ac:dyDescent="0.25">
      <c r="A10896" t="str">
        <f>"0611893657100"</f>
        <v>0611893657100</v>
      </c>
      <c r="B10896" t="str">
        <f>"CN5500"</f>
        <v>CN5500</v>
      </c>
      <c r="C10896" t="s">
        <v>10677</v>
      </c>
    </row>
    <row r="10897" spans="1:3" x14ac:dyDescent="0.25">
      <c r="A10897" t="str">
        <f>"0611893658100"</f>
        <v>0611893658100</v>
      </c>
      <c r="B10897" t="str">
        <f>"CN5501"</f>
        <v>CN5501</v>
      </c>
      <c r="C10897" t="s">
        <v>10678</v>
      </c>
    </row>
    <row r="10898" spans="1:3" x14ac:dyDescent="0.25">
      <c r="A10898" t="str">
        <f>"0611863821100"</f>
        <v>0611863821100</v>
      </c>
      <c r="B10898" t="str">
        <f>"CN5331"</f>
        <v>CN5331</v>
      </c>
      <c r="C10898" t="s">
        <v>10679</v>
      </c>
    </row>
    <row r="10899" spans="1:3" x14ac:dyDescent="0.25">
      <c r="A10899" t="str">
        <f>"0611863823100"</f>
        <v>0611863823100</v>
      </c>
      <c r="B10899" t="str">
        <f>"CN5332"</f>
        <v>CN5332</v>
      </c>
      <c r="C10899" t="s">
        <v>10680</v>
      </c>
    </row>
    <row r="10900" spans="1:3" x14ac:dyDescent="0.25">
      <c r="A10900" t="str">
        <f>"0611863825100"</f>
        <v>0611863825100</v>
      </c>
      <c r="B10900" t="str">
        <f>"CN5333"</f>
        <v>CN5333</v>
      </c>
      <c r="C10900" t="s">
        <v>10681</v>
      </c>
    </row>
    <row r="10901" spans="1:3" x14ac:dyDescent="0.25">
      <c r="A10901" t="str">
        <f>"0611863827100"</f>
        <v>0611863827100</v>
      </c>
      <c r="B10901" t="str">
        <f>"CN5334"</f>
        <v>CN5334</v>
      </c>
      <c r="C10901" t="s">
        <v>10682</v>
      </c>
    </row>
    <row r="10902" spans="1:3" x14ac:dyDescent="0.25">
      <c r="A10902" t="str">
        <f>"0611863828100"</f>
        <v>0611863828100</v>
      </c>
      <c r="B10902" t="str">
        <f>"CN5335"</f>
        <v>CN5335</v>
      </c>
      <c r="C10902" t="s">
        <v>10683</v>
      </c>
    </row>
    <row r="10903" spans="1:3" x14ac:dyDescent="0.25">
      <c r="A10903" t="str">
        <f>"0611863829100"</f>
        <v>0611863829100</v>
      </c>
      <c r="B10903" t="str">
        <f>"CN5336"</f>
        <v>CN5336</v>
      </c>
      <c r="C10903" t="s">
        <v>10684</v>
      </c>
    </row>
    <row r="10904" spans="1:3" x14ac:dyDescent="0.25">
      <c r="A10904" t="str">
        <f>"0611863830050"</f>
        <v>0611863830050</v>
      </c>
      <c r="B10904" t="str">
        <f>"CR3831"</f>
        <v>CR3831</v>
      </c>
      <c r="C10904" t="s">
        <v>10685</v>
      </c>
    </row>
    <row r="10905" spans="1:3" x14ac:dyDescent="0.25">
      <c r="A10905" t="str">
        <f>"0611863831100"</f>
        <v>0611863831100</v>
      </c>
      <c r="B10905" t="str">
        <f>"CN5337"</f>
        <v>CN5337</v>
      </c>
      <c r="C10905" t="s">
        <v>10686</v>
      </c>
    </row>
    <row r="10906" spans="1:3" x14ac:dyDescent="0.25">
      <c r="A10906" t="str">
        <f>"0611863832100"</f>
        <v>0611863832100</v>
      </c>
      <c r="B10906" t="str">
        <f>"CN5338"</f>
        <v>CN5338</v>
      </c>
      <c r="C10906" t="s">
        <v>10687</v>
      </c>
    </row>
    <row r="10907" spans="1:3" x14ac:dyDescent="0.25">
      <c r="A10907" t="str">
        <f>"0611838461100"</f>
        <v>0611838461100</v>
      </c>
      <c r="B10907" t="str">
        <f>"LH8876"</f>
        <v>LH8876</v>
      </c>
      <c r="C10907" t="s">
        <v>10688</v>
      </c>
    </row>
    <row r="10908" spans="1:3" x14ac:dyDescent="0.25">
      <c r="A10908" t="str">
        <f>"0611863833100"</f>
        <v>0611863833100</v>
      </c>
      <c r="B10908" t="str">
        <f>"CN5339"</f>
        <v>CN5339</v>
      </c>
      <c r="C10908" t="s">
        <v>10689</v>
      </c>
    </row>
    <row r="10909" spans="1:3" x14ac:dyDescent="0.25">
      <c r="A10909" t="str">
        <f>"0611863834050"</f>
        <v>0611863834050</v>
      </c>
      <c r="B10909" t="str">
        <f>"CR3832"</f>
        <v>CR3832</v>
      </c>
      <c r="C10909" t="s">
        <v>10690</v>
      </c>
    </row>
    <row r="10910" spans="1:3" x14ac:dyDescent="0.25">
      <c r="A10910" t="str">
        <f>"0611838462025"</f>
        <v>0611838462025</v>
      </c>
      <c r="B10910" t="str">
        <f>"MC0601"</f>
        <v>MC0601</v>
      </c>
      <c r="C10910" t="s">
        <v>10691</v>
      </c>
    </row>
    <row r="10911" spans="1:3" x14ac:dyDescent="0.25">
      <c r="A10911" t="str">
        <f>"0611838463025"</f>
        <v>0611838463025</v>
      </c>
      <c r="B10911" t="str">
        <f>"MQ0728"</f>
        <v>MQ0728</v>
      </c>
      <c r="C10911" t="s">
        <v>10692</v>
      </c>
    </row>
    <row r="10912" spans="1:3" x14ac:dyDescent="0.25">
      <c r="A10912" t="str">
        <f>"0611838464025"</f>
        <v>0611838464025</v>
      </c>
      <c r="B10912" t="str">
        <f>"MQ0729"</f>
        <v>MQ0729</v>
      </c>
      <c r="C10912" t="s">
        <v>10693</v>
      </c>
    </row>
    <row r="10913" spans="1:3" x14ac:dyDescent="0.25">
      <c r="A10913" t="str">
        <f>"0611838465025"</f>
        <v>0611838465025</v>
      </c>
      <c r="B10913" t="str">
        <f>"MQ0653"</f>
        <v>MQ0653</v>
      </c>
      <c r="C10913" t="s">
        <v>10694</v>
      </c>
    </row>
    <row r="10914" spans="1:3" x14ac:dyDescent="0.25">
      <c r="A10914" t="str">
        <f>"0611838466025"</f>
        <v>0611838466025</v>
      </c>
      <c r="B10914" t="str">
        <f>"MQ0654"</f>
        <v>MQ0654</v>
      </c>
      <c r="C10914" t="s">
        <v>10695</v>
      </c>
    </row>
    <row r="10915" spans="1:3" x14ac:dyDescent="0.25">
      <c r="A10915" t="str">
        <f>"0611838467025"</f>
        <v>0611838467025</v>
      </c>
      <c r="B10915" t="str">
        <f>"MQ0655"</f>
        <v>MQ0655</v>
      </c>
      <c r="C10915" t="s">
        <v>10696</v>
      </c>
    </row>
    <row r="10916" spans="1:3" x14ac:dyDescent="0.25">
      <c r="A10916" t="str">
        <f>"0611838468025"</f>
        <v>0611838468025</v>
      </c>
      <c r="B10916" t="str">
        <f>"MQ0656"</f>
        <v>MQ0656</v>
      </c>
      <c r="C10916" t="s">
        <v>10697</v>
      </c>
    </row>
    <row r="10917" spans="1:3" x14ac:dyDescent="0.25">
      <c r="A10917" t="str">
        <f>"0611863835050"</f>
        <v>0611863835050</v>
      </c>
      <c r="B10917" t="str">
        <f>"CR3824"</f>
        <v>CR3824</v>
      </c>
      <c r="C10917" t="s">
        <v>10698</v>
      </c>
    </row>
    <row r="10918" spans="1:3" x14ac:dyDescent="0.25">
      <c r="A10918" t="str">
        <f>"0611863836050"</f>
        <v>0611863836050</v>
      </c>
      <c r="B10918" t="str">
        <f>"CR3825"</f>
        <v>CR3825</v>
      </c>
      <c r="C10918" t="s">
        <v>10699</v>
      </c>
    </row>
    <row r="10919" spans="1:3" x14ac:dyDescent="0.25">
      <c r="A10919" t="str">
        <f>"0611884402025"</f>
        <v>0611884402025</v>
      </c>
      <c r="B10919" t="str">
        <f>"MQ0843"</f>
        <v>MQ0843</v>
      </c>
      <c r="C10919" t="s">
        <v>10700</v>
      </c>
    </row>
    <row r="10920" spans="1:3" x14ac:dyDescent="0.25">
      <c r="A10920" t="str">
        <f>"0611838469025"</f>
        <v>0611838469025</v>
      </c>
      <c r="B10920" t="str">
        <f>"MQ0430"</f>
        <v>MQ0430</v>
      </c>
      <c r="C10920" t="s">
        <v>10701</v>
      </c>
    </row>
    <row r="10921" spans="1:3" x14ac:dyDescent="0.25">
      <c r="A10921" t="str">
        <f>"0611863837050"</f>
        <v>0611863837050</v>
      </c>
      <c r="B10921" t="str">
        <f>"CE1717"</f>
        <v>CE1717</v>
      </c>
      <c r="C10921" t="s">
        <v>10702</v>
      </c>
    </row>
    <row r="10922" spans="1:3" x14ac:dyDescent="0.25">
      <c r="A10922" t="str">
        <f>"0611838470025"</f>
        <v>0611838470025</v>
      </c>
      <c r="B10922" t="str">
        <f>"MQ0431"</f>
        <v>MQ0431</v>
      </c>
      <c r="C10922" t="s">
        <v>10703</v>
      </c>
    </row>
    <row r="10923" spans="1:3" x14ac:dyDescent="0.25">
      <c r="A10923" t="str">
        <f>"0611863838050"</f>
        <v>0611863838050</v>
      </c>
      <c r="B10923" t="str">
        <f>"CE1715"</f>
        <v>CE1715</v>
      </c>
      <c r="C10923" t="s">
        <v>10704</v>
      </c>
    </row>
    <row r="10924" spans="1:3" x14ac:dyDescent="0.25">
      <c r="A10924" t="str">
        <f>"0611863839050"</f>
        <v>0611863839050</v>
      </c>
      <c r="B10924" t="str">
        <f>"CE1018"</f>
        <v>CE1018</v>
      </c>
      <c r="C10924" t="s">
        <v>10705</v>
      </c>
    </row>
    <row r="10925" spans="1:3" x14ac:dyDescent="0.25">
      <c r="A10925" t="str">
        <f>"0611838471025"</f>
        <v>0611838471025</v>
      </c>
      <c r="B10925" t="str">
        <f>"MQ0432"</f>
        <v>MQ0432</v>
      </c>
      <c r="C10925" t="s">
        <v>10706</v>
      </c>
    </row>
    <row r="10926" spans="1:3" x14ac:dyDescent="0.25">
      <c r="A10926" t="str">
        <f>"0611863840050"</f>
        <v>0611863840050</v>
      </c>
      <c r="B10926" t="str">
        <f>"CE1019"</f>
        <v>CE1019</v>
      </c>
      <c r="C10926" t="s">
        <v>10707</v>
      </c>
    </row>
    <row r="10927" spans="1:3" x14ac:dyDescent="0.25">
      <c r="A10927" t="str">
        <f>"0611838472025"</f>
        <v>0611838472025</v>
      </c>
      <c r="B10927" t="str">
        <f>"MQ0433"</f>
        <v>MQ0433</v>
      </c>
      <c r="C10927" t="s">
        <v>10708</v>
      </c>
    </row>
    <row r="10928" spans="1:3" x14ac:dyDescent="0.25">
      <c r="A10928" t="str">
        <f>"0611838473025"</f>
        <v>0611838473025</v>
      </c>
      <c r="B10928" t="str">
        <f>"MQ0444"</f>
        <v>MQ0444</v>
      </c>
      <c r="C10928" t="s">
        <v>10709</v>
      </c>
    </row>
    <row r="10929" spans="1:3" x14ac:dyDescent="0.25">
      <c r="A10929" t="str">
        <f>"0611863841050"</f>
        <v>0611863841050</v>
      </c>
      <c r="B10929" t="str">
        <f>"CE1713"</f>
        <v>CE1713</v>
      </c>
      <c r="C10929" t="s">
        <v>10710</v>
      </c>
    </row>
    <row r="10930" spans="1:3" x14ac:dyDescent="0.25">
      <c r="A10930" t="str">
        <f>"0611838474025"</f>
        <v>0611838474025</v>
      </c>
      <c r="B10930" t="str">
        <f>"MQ0445"</f>
        <v>MQ0445</v>
      </c>
      <c r="C10930" t="s">
        <v>10711</v>
      </c>
    </row>
    <row r="10931" spans="1:3" x14ac:dyDescent="0.25">
      <c r="A10931" t="str">
        <f>"0611863842050"</f>
        <v>0611863842050</v>
      </c>
      <c r="B10931" t="str">
        <f>"CE1714"</f>
        <v>CE1714</v>
      </c>
      <c r="C10931" t="s">
        <v>10712</v>
      </c>
    </row>
    <row r="10932" spans="1:3" x14ac:dyDescent="0.25">
      <c r="A10932" t="str">
        <f>"0611838475025"</f>
        <v>0611838475025</v>
      </c>
      <c r="B10932" t="str">
        <f>"MQ0446"</f>
        <v>MQ0446</v>
      </c>
      <c r="C10932" t="s">
        <v>10713</v>
      </c>
    </row>
    <row r="10933" spans="1:3" x14ac:dyDescent="0.25">
      <c r="A10933" t="str">
        <f>"0611863843050"</f>
        <v>0611863843050</v>
      </c>
      <c r="B10933" t="str">
        <f>"CE1022"</f>
        <v>CE1022</v>
      </c>
      <c r="C10933" t="s">
        <v>10714</v>
      </c>
    </row>
    <row r="10934" spans="1:3" x14ac:dyDescent="0.25">
      <c r="A10934" t="str">
        <f>"0611863844050"</f>
        <v>0611863844050</v>
      </c>
      <c r="B10934" t="str">
        <f>"CE1718"</f>
        <v>CE1718</v>
      </c>
      <c r="C10934" t="s">
        <v>10715</v>
      </c>
    </row>
    <row r="10935" spans="1:3" x14ac:dyDescent="0.25">
      <c r="A10935" t="str">
        <f>"0611838476025"</f>
        <v>0611838476025</v>
      </c>
      <c r="B10935" t="str">
        <f>"MQ0447"</f>
        <v>MQ0447</v>
      </c>
      <c r="C10935" t="s">
        <v>10716</v>
      </c>
    </row>
    <row r="10936" spans="1:3" x14ac:dyDescent="0.25">
      <c r="A10936" t="str">
        <f>"0611863845050"</f>
        <v>0611863845050</v>
      </c>
      <c r="B10936" t="str">
        <f>"CE1716"</f>
        <v>CE1716</v>
      </c>
      <c r="C10936" t="s">
        <v>10717</v>
      </c>
    </row>
    <row r="10937" spans="1:3" x14ac:dyDescent="0.25">
      <c r="A10937" t="str">
        <f>"0611838477025"</f>
        <v>0611838477025</v>
      </c>
      <c r="B10937" t="str">
        <f>"MQ0448"</f>
        <v>MQ0448</v>
      </c>
      <c r="C10937" t="s">
        <v>10718</v>
      </c>
    </row>
    <row r="10938" spans="1:3" x14ac:dyDescent="0.25">
      <c r="A10938" t="str">
        <f>"0611863846050"</f>
        <v>0611863846050</v>
      </c>
      <c r="B10938" t="str">
        <f>"CE1060"</f>
        <v>CE1060</v>
      </c>
      <c r="C10938" t="s">
        <v>10719</v>
      </c>
    </row>
    <row r="10939" spans="1:3" x14ac:dyDescent="0.25">
      <c r="A10939" t="str">
        <f>"0611838478025"</f>
        <v>0611838478025</v>
      </c>
      <c r="B10939" t="str">
        <f>"MQ0449"</f>
        <v>MQ0449</v>
      </c>
      <c r="C10939" t="s">
        <v>10720</v>
      </c>
    </row>
    <row r="10940" spans="1:3" x14ac:dyDescent="0.25">
      <c r="A10940" t="str">
        <f>"0611863847050"</f>
        <v>0611863847050</v>
      </c>
      <c r="B10940" t="str">
        <f>"CE1719"</f>
        <v>CE1719</v>
      </c>
      <c r="C10940" t="s">
        <v>10721</v>
      </c>
    </row>
    <row r="10941" spans="1:3" x14ac:dyDescent="0.25">
      <c r="A10941" t="str">
        <f>"0611863848050"</f>
        <v>0611863848050</v>
      </c>
      <c r="B10941" t="str">
        <f>"CE1023"</f>
        <v>CE1023</v>
      </c>
      <c r="C10941" t="s">
        <v>10722</v>
      </c>
    </row>
    <row r="10942" spans="1:3" x14ac:dyDescent="0.25">
      <c r="A10942" t="str">
        <f>"0611838479025"</f>
        <v>0611838479025</v>
      </c>
      <c r="B10942" t="str">
        <f>"MQ0450"</f>
        <v>MQ0450</v>
      </c>
      <c r="C10942" t="s">
        <v>10723</v>
      </c>
    </row>
    <row r="10943" spans="1:3" x14ac:dyDescent="0.25">
      <c r="A10943" t="str">
        <f>"0611838438025"</f>
        <v>0611838438025</v>
      </c>
      <c r="B10943" t="str">
        <f>"MQ0629"</f>
        <v>MQ0629</v>
      </c>
      <c r="C10943" t="s">
        <v>10724</v>
      </c>
    </row>
    <row r="10944" spans="1:3" x14ac:dyDescent="0.25">
      <c r="A10944" t="str">
        <f>"0611863849050"</f>
        <v>0611863849050</v>
      </c>
      <c r="B10944" t="str">
        <f>"CE1250"</f>
        <v>CE1250</v>
      </c>
      <c r="C10944" t="s">
        <v>10645</v>
      </c>
    </row>
    <row r="10945" spans="1:3" x14ac:dyDescent="0.25">
      <c r="A10945" t="str">
        <f>"0611838480025"</f>
        <v>0611838480025</v>
      </c>
      <c r="B10945" t="str">
        <f>"MQ0339"</f>
        <v>MQ0339</v>
      </c>
      <c r="C10945" t="s">
        <v>10725</v>
      </c>
    </row>
    <row r="10946" spans="1:3" x14ac:dyDescent="0.25">
      <c r="A10946" t="str">
        <f>"0611838481025"</f>
        <v>0611838481025</v>
      </c>
      <c r="B10946" t="str">
        <f>"MC0611"</f>
        <v>MC0611</v>
      </c>
      <c r="C10946" t="s">
        <v>10726</v>
      </c>
    </row>
    <row r="10947" spans="1:3" x14ac:dyDescent="0.25">
      <c r="A10947" t="str">
        <f>"0611838482025"</f>
        <v>0611838482025</v>
      </c>
      <c r="B10947" t="str">
        <f>"MC0615"</f>
        <v>MC0615</v>
      </c>
      <c r="C10947" t="s">
        <v>10727</v>
      </c>
    </row>
    <row r="10948" spans="1:3" x14ac:dyDescent="0.25">
      <c r="A10948" t="str">
        <f>"0611863850100"</f>
        <v>0611863850100</v>
      </c>
      <c r="B10948" t="str">
        <f>"CN5299"</f>
        <v>CN5299</v>
      </c>
      <c r="C10948" t="s">
        <v>10728</v>
      </c>
    </row>
    <row r="10949" spans="1:3" x14ac:dyDescent="0.25">
      <c r="A10949" t="str">
        <f>"0611863851050"</f>
        <v>0611863851050</v>
      </c>
      <c r="B10949" t="str">
        <f>"CR4874"</f>
        <v>CR4874</v>
      </c>
      <c r="C10949" t="s">
        <v>10729</v>
      </c>
    </row>
    <row r="10950" spans="1:3" x14ac:dyDescent="0.25">
      <c r="A10950" t="str">
        <f>"0611893659100"</f>
        <v>0611893659100</v>
      </c>
      <c r="B10950" t="str">
        <f>"CN5496"</f>
        <v>CN5496</v>
      </c>
      <c r="C10950" t="s">
        <v>10730</v>
      </c>
    </row>
    <row r="10951" spans="1:3" x14ac:dyDescent="0.25">
      <c r="A10951" t="str">
        <f>"0611863852100"</f>
        <v>0611863852100</v>
      </c>
      <c r="B10951" t="str">
        <f>"CN5300"</f>
        <v>CN5300</v>
      </c>
      <c r="C10951" t="s">
        <v>10731</v>
      </c>
    </row>
    <row r="10952" spans="1:3" x14ac:dyDescent="0.25">
      <c r="A10952" t="str">
        <f>"0611863853050"</f>
        <v>0611863853050</v>
      </c>
      <c r="B10952" t="str">
        <f>"CR4873"</f>
        <v>CR4873</v>
      </c>
      <c r="C10952" t="s">
        <v>10732</v>
      </c>
    </row>
    <row r="10953" spans="1:3" x14ac:dyDescent="0.25">
      <c r="A10953" t="str">
        <f>"0611893660100"</f>
        <v>0611893660100</v>
      </c>
      <c r="B10953" t="str">
        <f>"CN5497"</f>
        <v>CN5497</v>
      </c>
      <c r="C10953" t="s">
        <v>10733</v>
      </c>
    </row>
    <row r="10954" spans="1:3" x14ac:dyDescent="0.25">
      <c r="A10954" t="str">
        <f>"0611863854100"</f>
        <v>0611863854100</v>
      </c>
      <c r="B10954" t="str">
        <f>"CN5301"</f>
        <v>CN5301</v>
      </c>
      <c r="C10954" t="s">
        <v>10734</v>
      </c>
    </row>
    <row r="10955" spans="1:3" x14ac:dyDescent="0.25">
      <c r="A10955" t="str">
        <f>"0611863855050"</f>
        <v>0611863855050</v>
      </c>
      <c r="B10955" t="str">
        <f>"CR4876"</f>
        <v>CR4876</v>
      </c>
      <c r="C10955" t="s">
        <v>10735</v>
      </c>
    </row>
    <row r="10956" spans="1:3" x14ac:dyDescent="0.25">
      <c r="A10956" t="str">
        <f>"0611863856100"</f>
        <v>0611863856100</v>
      </c>
      <c r="B10956" t="str">
        <f>"CN5302"</f>
        <v>CN5302</v>
      </c>
      <c r="C10956" t="s">
        <v>10736</v>
      </c>
    </row>
    <row r="10957" spans="1:3" x14ac:dyDescent="0.25">
      <c r="A10957" t="str">
        <f>"0611863857050"</f>
        <v>0611863857050</v>
      </c>
      <c r="B10957" t="str">
        <f>"CR4875"</f>
        <v>CR4875</v>
      </c>
      <c r="C10957" t="s">
        <v>10737</v>
      </c>
    </row>
    <row r="10958" spans="1:3" x14ac:dyDescent="0.25">
      <c r="A10958" t="str">
        <f>"0611906909025"</f>
        <v>0611906909025</v>
      </c>
      <c r="B10958" t="str">
        <f>"MQ7608"</f>
        <v>MQ7608</v>
      </c>
      <c r="C10958" t="s">
        <v>10738</v>
      </c>
    </row>
    <row r="10959" spans="1:3" x14ac:dyDescent="0.25">
      <c r="A10959" t="str">
        <f>"0611838483100"</f>
        <v>0611838483100</v>
      </c>
      <c r="B10959" t="str">
        <f>"LH6543"</f>
        <v>LH6543</v>
      </c>
      <c r="C10959" t="s">
        <v>10739</v>
      </c>
    </row>
    <row r="10960" spans="1:3" x14ac:dyDescent="0.25">
      <c r="A10960" t="str">
        <f>"0611838484025"</f>
        <v>0611838484025</v>
      </c>
      <c r="B10960" t="str">
        <f>"MC0616"</f>
        <v>MC0616</v>
      </c>
      <c r="C10960" t="s">
        <v>10740</v>
      </c>
    </row>
    <row r="10961" spans="1:3" x14ac:dyDescent="0.25">
      <c r="A10961" t="str">
        <f>"0611838485100"</f>
        <v>0611838485100</v>
      </c>
      <c r="B10961" t="str">
        <f>"LL0009"</f>
        <v>LL0009</v>
      </c>
      <c r="C10961" t="s">
        <v>10741</v>
      </c>
    </row>
    <row r="10962" spans="1:3" x14ac:dyDescent="0.25">
      <c r="A10962" t="str">
        <f>"0611838486100"</f>
        <v>0611838486100</v>
      </c>
      <c r="B10962" t="str">
        <f>"LL3860"</f>
        <v>LL3860</v>
      </c>
      <c r="C10962" t="s">
        <v>10742</v>
      </c>
    </row>
    <row r="10963" spans="1:3" x14ac:dyDescent="0.25">
      <c r="A10963" t="str">
        <f>"0611857082025"</f>
        <v>0611857082025</v>
      </c>
      <c r="B10963" t="str">
        <f>"MQ0802"</f>
        <v>MQ0802</v>
      </c>
      <c r="C10963" t="s">
        <v>10743</v>
      </c>
    </row>
    <row r="10964" spans="1:3" x14ac:dyDescent="0.25">
      <c r="A10964" t="str">
        <f>"0611838487025"</f>
        <v>0611838487025</v>
      </c>
      <c r="B10964" t="str">
        <f>"MC0617"</f>
        <v>MC0617</v>
      </c>
      <c r="C10964" t="s">
        <v>10744</v>
      </c>
    </row>
    <row r="10965" spans="1:3" x14ac:dyDescent="0.25">
      <c r="A10965" t="str">
        <f>"0611838489025"</f>
        <v>0611838489025</v>
      </c>
      <c r="B10965" t="str">
        <f>"MC3363"</f>
        <v>MC3363</v>
      </c>
      <c r="C10965" t="s">
        <v>10745</v>
      </c>
    </row>
    <row r="10966" spans="1:3" x14ac:dyDescent="0.25">
      <c r="A10966" t="str">
        <f>"0611838490100"</f>
        <v>0611838490100</v>
      </c>
      <c r="B10966" t="str">
        <f>"LF5845"</f>
        <v>LF5845</v>
      </c>
      <c r="C10966" t="s">
        <v>10746</v>
      </c>
    </row>
    <row r="10967" spans="1:3" x14ac:dyDescent="0.25">
      <c r="A10967" t="str">
        <f>"0611884403100"</f>
        <v>0611884403100</v>
      </c>
      <c r="B10967" t="str">
        <f>"LF9112"</f>
        <v>LF9112</v>
      </c>
      <c r="C10967" t="s">
        <v>10747</v>
      </c>
    </row>
    <row r="10968" spans="1:3" x14ac:dyDescent="0.25">
      <c r="A10968" t="str">
        <f>"0611838491100"</f>
        <v>0611838491100</v>
      </c>
      <c r="B10968" t="str">
        <f>"LF5860"</f>
        <v>LF5860</v>
      </c>
      <c r="C10968" t="s">
        <v>10748</v>
      </c>
    </row>
    <row r="10969" spans="1:3" x14ac:dyDescent="0.25">
      <c r="A10969" t="str">
        <f>"0611838494100"</f>
        <v>0611838494100</v>
      </c>
      <c r="B10969" t="str">
        <f>"LF0038"</f>
        <v>LF0038</v>
      </c>
      <c r="C10969" t="s">
        <v>10749</v>
      </c>
    </row>
    <row r="10970" spans="1:3" x14ac:dyDescent="0.25">
      <c r="A10970" t="str">
        <f>"0611884404100"</f>
        <v>0611884404100</v>
      </c>
      <c r="B10970" t="str">
        <f>"LF9113"</f>
        <v>LF9113</v>
      </c>
      <c r="C10970" t="s">
        <v>10750</v>
      </c>
    </row>
    <row r="10971" spans="1:3" x14ac:dyDescent="0.25">
      <c r="A10971" t="str">
        <f>"0611838492100"</f>
        <v>0611838492100</v>
      </c>
      <c r="B10971" t="str">
        <f>"LF5853"</f>
        <v>LF5853</v>
      </c>
      <c r="C10971" t="s">
        <v>10751</v>
      </c>
    </row>
    <row r="10972" spans="1:3" x14ac:dyDescent="0.25">
      <c r="A10972" t="str">
        <f>"0611838493100"</f>
        <v>0611838493100</v>
      </c>
      <c r="B10972" t="str">
        <f>"LF0017"</f>
        <v>LF0017</v>
      </c>
      <c r="C10972" t="s">
        <v>10752</v>
      </c>
    </row>
    <row r="10973" spans="1:3" x14ac:dyDescent="0.25">
      <c r="A10973" t="str">
        <f>"0611831036100"</f>
        <v>0611831036100</v>
      </c>
      <c r="B10973" t="str">
        <f>"LF0600"</f>
        <v>LF0600</v>
      </c>
      <c r="C10973" t="s">
        <v>10753</v>
      </c>
    </row>
    <row r="10974" spans="1:3" x14ac:dyDescent="0.25">
      <c r="A10974" t="str">
        <f>"0611838505025"</f>
        <v>0611838505025</v>
      </c>
      <c r="B10974" t="str">
        <f>"MC1628"</f>
        <v>MC1628</v>
      </c>
      <c r="C10974" t="s">
        <v>10754</v>
      </c>
    </row>
    <row r="10975" spans="1:3" x14ac:dyDescent="0.25">
      <c r="A10975" t="str">
        <f>"0611838506025"</f>
        <v>0611838506025</v>
      </c>
      <c r="B10975" t="str">
        <f>"MC4408"</f>
        <v>MC4408</v>
      </c>
      <c r="C10975" t="s">
        <v>10755</v>
      </c>
    </row>
    <row r="10976" spans="1:3" x14ac:dyDescent="0.25">
      <c r="A10976" t="str">
        <f>"0611838507025"</f>
        <v>0611838507025</v>
      </c>
      <c r="B10976" t="str">
        <f>"MC1629"</f>
        <v>MC1629</v>
      </c>
      <c r="C10976" t="s">
        <v>10756</v>
      </c>
    </row>
    <row r="10977" spans="1:3" x14ac:dyDescent="0.25">
      <c r="A10977" t="str">
        <f>"0611838508025"</f>
        <v>0611838508025</v>
      </c>
      <c r="B10977" t="str">
        <f>"MC3402"</f>
        <v>MC3402</v>
      </c>
      <c r="C10977" t="s">
        <v>10757</v>
      </c>
    </row>
    <row r="10978" spans="1:3" x14ac:dyDescent="0.25">
      <c r="A10978" t="str">
        <f>"0611838509025"</f>
        <v>0611838509025</v>
      </c>
      <c r="B10978" t="str">
        <f>"MC3789"</f>
        <v>MC3789</v>
      </c>
      <c r="C10978" t="s">
        <v>10758</v>
      </c>
    </row>
    <row r="10979" spans="1:3" x14ac:dyDescent="0.25">
      <c r="A10979" t="str">
        <f>"0611838510025"</f>
        <v>0611838510025</v>
      </c>
      <c r="B10979" t="str">
        <f>"MC2760"</f>
        <v>MC2760</v>
      </c>
      <c r="C10979" t="s">
        <v>10759</v>
      </c>
    </row>
    <row r="10980" spans="1:3" x14ac:dyDescent="0.25">
      <c r="A10980" t="str">
        <f>"0611838511025"</f>
        <v>0611838511025</v>
      </c>
      <c r="B10980" t="str">
        <f>"MC1630"</f>
        <v>MC1630</v>
      </c>
      <c r="C10980" t="s">
        <v>10760</v>
      </c>
    </row>
    <row r="10981" spans="1:3" x14ac:dyDescent="0.25">
      <c r="A10981" t="str">
        <f>"0611838512100"</f>
        <v>0611838512100</v>
      </c>
      <c r="B10981" t="str">
        <f>"LH6639"</f>
        <v>LH6639</v>
      </c>
      <c r="C10981" t="s">
        <v>10761</v>
      </c>
    </row>
    <row r="10982" spans="1:3" x14ac:dyDescent="0.25">
      <c r="A10982" t="str">
        <f>"0611838515025"</f>
        <v>0611838515025</v>
      </c>
      <c r="B10982" t="str">
        <f>"MC4304"</f>
        <v>MC4304</v>
      </c>
      <c r="C10982" t="s">
        <v>10762</v>
      </c>
    </row>
    <row r="10983" spans="1:3" x14ac:dyDescent="0.25">
      <c r="A10983" t="str">
        <f>"0611838517025"</f>
        <v>0611838517025</v>
      </c>
      <c r="B10983" t="str">
        <f>"MC4306"</f>
        <v>MC4306</v>
      </c>
      <c r="C10983" t="s">
        <v>10763</v>
      </c>
    </row>
    <row r="10984" spans="1:3" x14ac:dyDescent="0.25">
      <c r="A10984" t="str">
        <f>"0611838518025"</f>
        <v>0611838518025</v>
      </c>
      <c r="B10984" t="str">
        <f>"MC4307"</f>
        <v>MC4307</v>
      </c>
      <c r="C10984" t="s">
        <v>10764</v>
      </c>
    </row>
    <row r="10985" spans="1:3" x14ac:dyDescent="0.25">
      <c r="A10985" t="str">
        <f>"0611838519100"</f>
        <v>0611838519100</v>
      </c>
      <c r="B10985" t="str">
        <f>"LH8723"</f>
        <v>LH8723</v>
      </c>
      <c r="C10985" t="s">
        <v>10765</v>
      </c>
    </row>
    <row r="10986" spans="1:3" x14ac:dyDescent="0.25">
      <c r="A10986" t="str">
        <f>"0611838520025"</f>
        <v>0611838520025</v>
      </c>
      <c r="B10986" t="str">
        <f>"MC0627"</f>
        <v>MC0627</v>
      </c>
      <c r="C10986" t="s">
        <v>10766</v>
      </c>
    </row>
    <row r="10987" spans="1:3" x14ac:dyDescent="0.25">
      <c r="A10987" t="str">
        <f>"0611838521025"</f>
        <v>0611838521025</v>
      </c>
      <c r="B10987" t="str">
        <f>"MC4308"</f>
        <v>MC4308</v>
      </c>
      <c r="C10987" t="s">
        <v>10767</v>
      </c>
    </row>
    <row r="10988" spans="1:3" x14ac:dyDescent="0.25">
      <c r="A10988" t="str">
        <f>"0611857083025"</f>
        <v>0611857083025</v>
      </c>
      <c r="B10988" t="str">
        <f>"MC4445"</f>
        <v>MC4445</v>
      </c>
      <c r="C10988" t="s">
        <v>10768</v>
      </c>
    </row>
    <row r="10989" spans="1:3" x14ac:dyDescent="0.25">
      <c r="A10989" t="str">
        <f>"0611838522100"</f>
        <v>0611838522100</v>
      </c>
      <c r="B10989" t="str">
        <f>"MB5915"</f>
        <v>MB5915</v>
      </c>
      <c r="C10989" t="s">
        <v>10769</v>
      </c>
    </row>
    <row r="10990" spans="1:3" x14ac:dyDescent="0.25">
      <c r="A10990" t="str">
        <f>"0611838523100"</f>
        <v>0611838523100</v>
      </c>
      <c r="B10990" t="str">
        <f>"LF5915"</f>
        <v>LF5915</v>
      </c>
      <c r="C10990" t="s">
        <v>10770</v>
      </c>
    </row>
    <row r="10991" spans="1:3" x14ac:dyDescent="0.25">
      <c r="A10991" t="str">
        <f>"0611863860050"</f>
        <v>0611863860050</v>
      </c>
      <c r="B10991" t="str">
        <f>"CE1424"</f>
        <v>CE1424</v>
      </c>
      <c r="C10991" t="s">
        <v>10771</v>
      </c>
    </row>
    <row r="10992" spans="1:3" x14ac:dyDescent="0.25">
      <c r="A10992" t="str">
        <f>"0611838524100"</f>
        <v>0611838524100</v>
      </c>
      <c r="B10992" t="str">
        <f>"LK6833"</f>
        <v>LK6833</v>
      </c>
      <c r="C10992" t="s">
        <v>10772</v>
      </c>
    </row>
    <row r="10993" spans="1:3" x14ac:dyDescent="0.25">
      <c r="A10993" t="str">
        <f>"0611838525100"</f>
        <v>0611838525100</v>
      </c>
      <c r="B10993" t="str">
        <f>"LD0048"</f>
        <v>LD0048</v>
      </c>
      <c r="C10993" t="s">
        <v>10773</v>
      </c>
    </row>
    <row r="10994" spans="1:3" x14ac:dyDescent="0.25">
      <c r="A10994" t="str">
        <f>"0611838526100"</f>
        <v>0611838526100</v>
      </c>
      <c r="B10994" t="str">
        <f>"LD0049"</f>
        <v>LD0049</v>
      </c>
      <c r="C10994" t="s">
        <v>10774</v>
      </c>
    </row>
    <row r="10995" spans="1:3" x14ac:dyDescent="0.25">
      <c r="A10995" t="str">
        <f>"0611838527100"</f>
        <v>0611838527100</v>
      </c>
      <c r="B10995" t="str">
        <f>"LQ3757"</f>
        <v>LQ3757</v>
      </c>
      <c r="C10995" t="s">
        <v>10775</v>
      </c>
    </row>
    <row r="10996" spans="1:3" x14ac:dyDescent="0.25">
      <c r="A10996" t="str">
        <f>"0611863861050"</f>
        <v>0611863861050</v>
      </c>
      <c r="B10996" t="str">
        <f>"CR4066"</f>
        <v>CR4066</v>
      </c>
      <c r="C10996" t="s">
        <v>10776</v>
      </c>
    </row>
    <row r="10997" spans="1:3" x14ac:dyDescent="0.25">
      <c r="A10997" t="str">
        <f>"0611838528100"</f>
        <v>0611838528100</v>
      </c>
      <c r="B10997" t="str">
        <f>"LB3200"</f>
        <v>LB3200</v>
      </c>
      <c r="C10997" t="s">
        <v>10777</v>
      </c>
    </row>
    <row r="10998" spans="1:3" x14ac:dyDescent="0.25">
      <c r="A10998" t="str">
        <f>"0611838529100"</f>
        <v>0611838529100</v>
      </c>
      <c r="B10998" t="str">
        <f>"LK5796"</f>
        <v>LK5796</v>
      </c>
      <c r="C10998" t="s">
        <v>10778</v>
      </c>
    </row>
    <row r="10999" spans="1:3" x14ac:dyDescent="0.25">
      <c r="A10999" t="str">
        <f>"0611863862050"</f>
        <v>0611863862050</v>
      </c>
      <c r="B10999" t="str">
        <f>"CR2995"</f>
        <v>CR2995</v>
      </c>
      <c r="C10999" t="s">
        <v>10779</v>
      </c>
    </row>
    <row r="11000" spans="1:3" x14ac:dyDescent="0.25">
      <c r="A11000" t="str">
        <f>"0611838530100"</f>
        <v>0611838530100</v>
      </c>
      <c r="B11000" t="str">
        <f>"LF5918"</f>
        <v>LF5918</v>
      </c>
      <c r="C11000" t="s">
        <v>10780</v>
      </c>
    </row>
    <row r="11001" spans="1:3" x14ac:dyDescent="0.25">
      <c r="A11001" t="str">
        <f>"0611838531100"</f>
        <v>0611838531100</v>
      </c>
      <c r="B11001" t="str">
        <f>"LF5923"</f>
        <v>LF5923</v>
      </c>
      <c r="C11001" t="s">
        <v>10781</v>
      </c>
    </row>
    <row r="11002" spans="1:3" x14ac:dyDescent="0.25">
      <c r="A11002" t="str">
        <f>"0611838532100"</f>
        <v>0611838532100</v>
      </c>
      <c r="B11002" t="str">
        <f>"LH6660"</f>
        <v>LH6660</v>
      </c>
      <c r="C11002" t="s">
        <v>10782</v>
      </c>
    </row>
    <row r="11003" spans="1:3" x14ac:dyDescent="0.25">
      <c r="A11003" t="str">
        <f>"0611884405100"</f>
        <v>0611884405100</v>
      </c>
      <c r="B11003" t="str">
        <f>"LF5916"</f>
        <v>LF5916</v>
      </c>
      <c r="C11003" t="s">
        <v>10783</v>
      </c>
    </row>
    <row r="11004" spans="1:3" x14ac:dyDescent="0.25">
      <c r="A11004" t="str">
        <f>"0611838534100"</f>
        <v>0611838534100</v>
      </c>
      <c r="B11004" t="str">
        <f>"LK2579"</f>
        <v>LK2579</v>
      </c>
      <c r="C11004" t="s">
        <v>10784</v>
      </c>
    </row>
    <row r="11005" spans="1:3" x14ac:dyDescent="0.25">
      <c r="A11005" t="str">
        <f>"0611863863050"</f>
        <v>0611863863050</v>
      </c>
      <c r="B11005" t="str">
        <f>"CR2524"</f>
        <v>CR2524</v>
      </c>
      <c r="C11005" t="s">
        <v>10785</v>
      </c>
    </row>
    <row r="11006" spans="1:3" x14ac:dyDescent="0.25">
      <c r="A11006" t="str">
        <f>"0611838536100"</f>
        <v>0611838536100</v>
      </c>
      <c r="B11006" t="str">
        <f>"LK6765"</f>
        <v>LK6765</v>
      </c>
      <c r="C11006" t="s">
        <v>10786</v>
      </c>
    </row>
    <row r="11007" spans="1:3" x14ac:dyDescent="0.25">
      <c r="A11007" t="str">
        <f>"0611838537100"</f>
        <v>0611838537100</v>
      </c>
      <c r="B11007" t="str">
        <f>"LK6766"</f>
        <v>LK6766</v>
      </c>
      <c r="C11007" t="s">
        <v>10787</v>
      </c>
    </row>
    <row r="11008" spans="1:3" x14ac:dyDescent="0.25">
      <c r="A11008" t="str">
        <f>"0611838538100"</f>
        <v>0611838538100</v>
      </c>
      <c r="B11008" t="str">
        <f>"LK6767"</f>
        <v>LK6767</v>
      </c>
      <c r="C11008" t="s">
        <v>10788</v>
      </c>
    </row>
    <row r="11009" spans="1:3" x14ac:dyDescent="0.25">
      <c r="A11009" t="str">
        <f>"0611838539100"</f>
        <v>0611838539100</v>
      </c>
      <c r="B11009" t="str">
        <f>"LK6768"</f>
        <v>LK6768</v>
      </c>
      <c r="C11009" t="s">
        <v>10789</v>
      </c>
    </row>
    <row r="11010" spans="1:3" x14ac:dyDescent="0.25">
      <c r="A11010" t="str">
        <f>"0611884406100"</f>
        <v>0611884406100</v>
      </c>
      <c r="B11010" t="str">
        <f>"LQ6293"</f>
        <v>LQ6293</v>
      </c>
      <c r="C11010" t="s">
        <v>10790</v>
      </c>
    </row>
    <row r="11011" spans="1:3" x14ac:dyDescent="0.25">
      <c r="A11011" t="str">
        <f>"0611838540100"</f>
        <v>0611838540100</v>
      </c>
      <c r="B11011" t="str">
        <f>"LK2580"</f>
        <v>LK2580</v>
      </c>
      <c r="C11011" t="s">
        <v>10791</v>
      </c>
    </row>
    <row r="11012" spans="1:3" x14ac:dyDescent="0.25">
      <c r="A11012" t="str">
        <f>"0611838542100"</f>
        <v>0611838542100</v>
      </c>
      <c r="B11012" t="str">
        <f>"LK5608"</f>
        <v>LK5608</v>
      </c>
      <c r="C11012" t="s">
        <v>10792</v>
      </c>
    </row>
    <row r="11013" spans="1:3" x14ac:dyDescent="0.25">
      <c r="A11013" t="str">
        <f>"0611838543025"</f>
        <v>0611838543025</v>
      </c>
      <c r="B11013" t="str">
        <f>"MC2621"</f>
        <v>MC2621</v>
      </c>
      <c r="C11013" t="s">
        <v>10793</v>
      </c>
    </row>
    <row r="11014" spans="1:3" x14ac:dyDescent="0.25">
      <c r="A11014" t="str">
        <f>"0611863864050"</f>
        <v>0611863864050</v>
      </c>
      <c r="B11014" t="str">
        <f>"CR2997"</f>
        <v>CR2997</v>
      </c>
      <c r="C11014" t="s">
        <v>10794</v>
      </c>
    </row>
    <row r="11015" spans="1:3" x14ac:dyDescent="0.25">
      <c r="A11015" t="str">
        <f>"0611838544100"</f>
        <v>0611838544100</v>
      </c>
      <c r="B11015" t="str">
        <f>"LK0351"</f>
        <v>LK0351</v>
      </c>
      <c r="C11015" t="s">
        <v>10795</v>
      </c>
    </row>
    <row r="11016" spans="1:3" x14ac:dyDescent="0.25">
      <c r="A11016" t="str">
        <f>"0611838546100"</f>
        <v>0611838546100</v>
      </c>
      <c r="B11016" t="str">
        <f>"LH6680"</f>
        <v>LH6680</v>
      </c>
      <c r="C11016" t="s">
        <v>10797</v>
      </c>
    </row>
    <row r="11017" spans="1:3" x14ac:dyDescent="0.25">
      <c r="A11017" t="str">
        <f>"0611838547025"</f>
        <v>0611838547025</v>
      </c>
      <c r="B11017" t="str">
        <f>"MC0633"</f>
        <v>MC0633</v>
      </c>
      <c r="C11017" t="s">
        <v>10798</v>
      </c>
    </row>
    <row r="11018" spans="1:3" x14ac:dyDescent="0.25">
      <c r="A11018" t="str">
        <f>"0611906910025"</f>
        <v>0611906910025</v>
      </c>
      <c r="B11018" t="str">
        <f>"MQ7194"</f>
        <v>MQ7194</v>
      </c>
      <c r="C11018" t="s">
        <v>10799</v>
      </c>
    </row>
    <row r="11019" spans="1:3" x14ac:dyDescent="0.25">
      <c r="A11019" t="str">
        <f>"0611857084025"</f>
        <v>0611857084025</v>
      </c>
      <c r="B11019" t="str">
        <f>"MQ0803"</f>
        <v>MQ0803</v>
      </c>
      <c r="C11019" t="s">
        <v>10800</v>
      </c>
    </row>
    <row r="11020" spans="1:3" x14ac:dyDescent="0.25">
      <c r="A11020" t="str">
        <f>"0611838548025"</f>
        <v>0611838548025</v>
      </c>
      <c r="B11020" t="str">
        <f>"MC2536"</f>
        <v>MC2536</v>
      </c>
      <c r="C11020" t="s">
        <v>10801</v>
      </c>
    </row>
    <row r="11021" spans="1:3" x14ac:dyDescent="0.25">
      <c r="A11021" t="str">
        <f>"0611838549025"</f>
        <v>0611838549025</v>
      </c>
      <c r="B11021" t="str">
        <f>"MC2179"</f>
        <v>MC2179</v>
      </c>
      <c r="C11021" t="s">
        <v>10802</v>
      </c>
    </row>
    <row r="11022" spans="1:3" x14ac:dyDescent="0.25">
      <c r="A11022" t="str">
        <f>"0611838550025"</f>
        <v>0611838550025</v>
      </c>
      <c r="B11022" t="str">
        <f>"MC2764"</f>
        <v>MC2764</v>
      </c>
      <c r="C11022" t="s">
        <v>10803</v>
      </c>
    </row>
    <row r="11023" spans="1:3" x14ac:dyDescent="0.25">
      <c r="A11023" t="str">
        <f>"0611838551025"</f>
        <v>0611838551025</v>
      </c>
      <c r="B11023" t="str">
        <f>"MQ0526"</f>
        <v>MQ0526</v>
      </c>
      <c r="C11023" t="s">
        <v>10804</v>
      </c>
    </row>
    <row r="11024" spans="1:3" x14ac:dyDescent="0.25">
      <c r="A11024" t="str">
        <f>"0611838552025"</f>
        <v>0611838552025</v>
      </c>
      <c r="B11024" t="str">
        <f>"MQ5117"</f>
        <v>MQ5117</v>
      </c>
      <c r="C11024" t="s">
        <v>10805</v>
      </c>
    </row>
    <row r="11025" spans="1:3" x14ac:dyDescent="0.25">
      <c r="A11025" t="str">
        <f>"0611838555025"</f>
        <v>0611838555025</v>
      </c>
      <c r="B11025" t="str">
        <f>"MC1335"</f>
        <v>MC1335</v>
      </c>
      <c r="C11025" t="s">
        <v>10806</v>
      </c>
    </row>
    <row r="11026" spans="1:3" x14ac:dyDescent="0.25">
      <c r="A11026" t="str">
        <f>"0611884407100"</f>
        <v>0611884407100</v>
      </c>
      <c r="B11026" t="str">
        <f>"LQ0975"</f>
        <v>LQ0975</v>
      </c>
      <c r="C11026" t="s">
        <v>10807</v>
      </c>
    </row>
    <row r="11027" spans="1:3" x14ac:dyDescent="0.25">
      <c r="A11027" t="str">
        <f>"0611838583100"</f>
        <v>0611838583100</v>
      </c>
      <c r="B11027" t="str">
        <f>"LS0114"</f>
        <v>LS0114</v>
      </c>
      <c r="C11027" t="s">
        <v>10856</v>
      </c>
    </row>
    <row r="11028" spans="1:3" x14ac:dyDescent="0.25">
      <c r="A11028" t="str">
        <f>"0611838560100"</f>
        <v>0611838560100</v>
      </c>
      <c r="B11028" t="str">
        <f>"LQ6167"</f>
        <v>LQ6167</v>
      </c>
      <c r="C11028" t="s">
        <v>10808</v>
      </c>
    </row>
    <row r="11029" spans="1:3" x14ac:dyDescent="0.25">
      <c r="A11029" t="str">
        <f>"0611838562100"</f>
        <v>0611838562100</v>
      </c>
      <c r="B11029" t="str">
        <f>"LQ6168"</f>
        <v>LQ6168</v>
      </c>
      <c r="C11029" t="s">
        <v>10809</v>
      </c>
    </row>
    <row r="11030" spans="1:3" x14ac:dyDescent="0.25">
      <c r="A11030" t="str">
        <f>"0611838563100"</f>
        <v>0611838563100</v>
      </c>
      <c r="B11030" t="str">
        <f>"LQ3623"</f>
        <v>LQ3623</v>
      </c>
      <c r="C11030" t="s">
        <v>10810</v>
      </c>
    </row>
    <row r="11031" spans="1:3" x14ac:dyDescent="0.25">
      <c r="A11031" t="str">
        <f>"0611838564100"</f>
        <v>0611838564100</v>
      </c>
      <c r="B11031" t="str">
        <f>"LQ3861"</f>
        <v>LQ3861</v>
      </c>
      <c r="C11031" t="s">
        <v>10811</v>
      </c>
    </row>
    <row r="11032" spans="1:3" x14ac:dyDescent="0.25">
      <c r="A11032" t="str">
        <f>"0611838566100"</f>
        <v>0611838566100</v>
      </c>
      <c r="B11032" t="str">
        <f>"LQ3624"</f>
        <v>LQ3624</v>
      </c>
      <c r="C11032" t="s">
        <v>10812</v>
      </c>
    </row>
    <row r="11033" spans="1:3" x14ac:dyDescent="0.25">
      <c r="A11033" t="str">
        <f>"0611838565100"</f>
        <v>0611838565100</v>
      </c>
      <c r="B11033" t="str">
        <f>"LQ3330"</f>
        <v>LQ3330</v>
      </c>
      <c r="C11033" t="s">
        <v>10813</v>
      </c>
    </row>
    <row r="11034" spans="1:3" x14ac:dyDescent="0.25">
      <c r="A11034" t="str">
        <f>"0611863865050"</f>
        <v>0611863865050</v>
      </c>
      <c r="B11034" t="str">
        <f>"CR2999"</f>
        <v>CR2999</v>
      </c>
      <c r="C11034" t="s">
        <v>10814</v>
      </c>
    </row>
    <row r="11035" spans="1:3" x14ac:dyDescent="0.25">
      <c r="A11035" t="str">
        <f>"0611838568100"</f>
        <v>0611838568100</v>
      </c>
      <c r="B11035" t="str">
        <f>"LQ3331"</f>
        <v>LQ3331</v>
      </c>
      <c r="C11035" t="s">
        <v>10815</v>
      </c>
    </row>
    <row r="11036" spans="1:3" x14ac:dyDescent="0.25">
      <c r="A11036" t="str">
        <f>"0611863866050"</f>
        <v>0611863866050</v>
      </c>
      <c r="B11036" t="str">
        <f>"CR3191"</f>
        <v>CR3191</v>
      </c>
      <c r="C11036" t="s">
        <v>10816</v>
      </c>
    </row>
    <row r="11037" spans="1:3" x14ac:dyDescent="0.25">
      <c r="A11037" t="str">
        <f>"0611838569100"</f>
        <v>0611838569100</v>
      </c>
      <c r="B11037" t="str">
        <f>"LQ3690"</f>
        <v>LQ3690</v>
      </c>
      <c r="C11037" t="s">
        <v>10817</v>
      </c>
    </row>
    <row r="11038" spans="1:3" x14ac:dyDescent="0.25">
      <c r="A11038" t="str">
        <f>"0611838570100"</f>
        <v>0611838570100</v>
      </c>
      <c r="B11038" t="str">
        <f>"LQ3332"</f>
        <v>LQ3332</v>
      </c>
      <c r="C11038" t="s">
        <v>10818</v>
      </c>
    </row>
    <row r="11039" spans="1:3" x14ac:dyDescent="0.25">
      <c r="A11039" t="str">
        <f>"0611863867050"</f>
        <v>0611863867050</v>
      </c>
      <c r="B11039" t="str">
        <f>"CR3192"</f>
        <v>CR3192</v>
      </c>
      <c r="C11039" t="s">
        <v>10819</v>
      </c>
    </row>
    <row r="11040" spans="1:3" x14ac:dyDescent="0.25">
      <c r="A11040" t="str">
        <f>"0611838571100"</f>
        <v>0611838571100</v>
      </c>
      <c r="B11040" t="str">
        <f>"LQ3333"</f>
        <v>LQ3333</v>
      </c>
      <c r="C11040" t="s">
        <v>10820</v>
      </c>
    </row>
    <row r="11041" spans="1:3" x14ac:dyDescent="0.25">
      <c r="A11041" t="str">
        <f>"0611863868050"</f>
        <v>0611863868050</v>
      </c>
      <c r="B11041" t="str">
        <f>"CR3001"</f>
        <v>CR3001</v>
      </c>
      <c r="C11041" t="s">
        <v>10821</v>
      </c>
    </row>
    <row r="11042" spans="1:3" x14ac:dyDescent="0.25">
      <c r="A11042" t="str">
        <f>"0611838572100"</f>
        <v>0611838572100</v>
      </c>
      <c r="B11042" t="str">
        <f>"LQ3334"</f>
        <v>LQ3334</v>
      </c>
      <c r="C11042" t="s">
        <v>10822</v>
      </c>
    </row>
    <row r="11043" spans="1:3" x14ac:dyDescent="0.25">
      <c r="A11043" t="str">
        <f>"0611838573100"</f>
        <v>0611838573100</v>
      </c>
      <c r="B11043" t="str">
        <f>"LQ3335"</f>
        <v>LQ3335</v>
      </c>
      <c r="C11043" t="s">
        <v>10823</v>
      </c>
    </row>
    <row r="11044" spans="1:3" x14ac:dyDescent="0.25">
      <c r="A11044" t="str">
        <f>"0611863869050"</f>
        <v>0611863869050</v>
      </c>
      <c r="B11044" t="str">
        <f>"CR3002"</f>
        <v>CR3002</v>
      </c>
      <c r="C11044" t="s">
        <v>10824</v>
      </c>
    </row>
    <row r="11045" spans="1:3" x14ac:dyDescent="0.25">
      <c r="A11045" t="str">
        <f>"0611838574100"</f>
        <v>0611838574100</v>
      </c>
      <c r="B11045" t="str">
        <f>"LQ3336"</f>
        <v>LQ3336</v>
      </c>
      <c r="C11045" t="s">
        <v>10825</v>
      </c>
    </row>
    <row r="11046" spans="1:3" x14ac:dyDescent="0.25">
      <c r="A11046" t="str">
        <f>"0611838575100"</f>
        <v>0611838575100</v>
      </c>
      <c r="B11046" t="str">
        <f>"LQ3337"</f>
        <v>LQ3337</v>
      </c>
      <c r="C11046" t="s">
        <v>10826</v>
      </c>
    </row>
    <row r="11047" spans="1:3" x14ac:dyDescent="0.25">
      <c r="A11047" t="str">
        <f>"0611863870050"</f>
        <v>0611863870050</v>
      </c>
      <c r="B11047" t="str">
        <f>"CR3003"</f>
        <v>CR3003</v>
      </c>
      <c r="C11047" t="s">
        <v>10827</v>
      </c>
    </row>
    <row r="11048" spans="1:3" x14ac:dyDescent="0.25">
      <c r="A11048" t="str">
        <f>"0611838576100"</f>
        <v>0611838576100</v>
      </c>
      <c r="B11048" t="str">
        <f>"LQ3626"</f>
        <v>LQ3626</v>
      </c>
      <c r="C11048" t="s">
        <v>10828</v>
      </c>
    </row>
    <row r="11049" spans="1:3" x14ac:dyDescent="0.25">
      <c r="A11049" t="str">
        <f>"0611863871050"</f>
        <v>0611863871050</v>
      </c>
      <c r="B11049" t="str">
        <f>"CR4037"</f>
        <v>CR4037</v>
      </c>
      <c r="C11049" t="s">
        <v>10829</v>
      </c>
    </row>
    <row r="11050" spans="1:3" x14ac:dyDescent="0.25">
      <c r="A11050" t="str">
        <f>"0611838577100"</f>
        <v>0611838577100</v>
      </c>
      <c r="B11050" t="str">
        <f>"LQ3339"</f>
        <v>LQ3339</v>
      </c>
      <c r="C11050" t="s">
        <v>10830</v>
      </c>
    </row>
    <row r="11051" spans="1:3" x14ac:dyDescent="0.25">
      <c r="A11051" t="str">
        <f>"0611838578100"</f>
        <v>0611838578100</v>
      </c>
      <c r="B11051" t="str">
        <f>"LQ3627"</f>
        <v>LQ3627</v>
      </c>
      <c r="C11051" t="s">
        <v>10831</v>
      </c>
    </row>
    <row r="11052" spans="1:3" x14ac:dyDescent="0.25">
      <c r="A11052" t="str">
        <f>"0611863872050"</f>
        <v>0611863872050</v>
      </c>
      <c r="B11052" t="str">
        <f>"CR4038"</f>
        <v>CR4038</v>
      </c>
      <c r="C11052" t="s">
        <v>10832</v>
      </c>
    </row>
    <row r="11053" spans="1:3" x14ac:dyDescent="0.25">
      <c r="A11053" t="str">
        <f>"0611838580100"</f>
        <v>0611838580100</v>
      </c>
      <c r="B11053" t="str">
        <f>"LQ3340"</f>
        <v>LQ3340</v>
      </c>
      <c r="C11053" t="s">
        <v>10833</v>
      </c>
    </row>
    <row r="11054" spans="1:3" x14ac:dyDescent="0.25">
      <c r="A11054" t="str">
        <f>"0611838581100"</f>
        <v>0611838581100</v>
      </c>
      <c r="B11054" t="str">
        <f>"LQ3341"</f>
        <v>LQ3341</v>
      </c>
      <c r="C11054" t="s">
        <v>10835</v>
      </c>
    </row>
    <row r="11055" spans="1:3" x14ac:dyDescent="0.25">
      <c r="A11055" t="str">
        <f>"0611863873050"</f>
        <v>0611863873050</v>
      </c>
      <c r="B11055" t="str">
        <f>"CR3004"</f>
        <v>CR3004</v>
      </c>
      <c r="C11055" t="s">
        <v>10836</v>
      </c>
    </row>
    <row r="11056" spans="1:3" x14ac:dyDescent="0.25">
      <c r="A11056" t="str">
        <f>"0611857085100"</f>
        <v>0611857085100</v>
      </c>
      <c r="B11056" t="str">
        <f>"LQ3898"</f>
        <v>LQ3898</v>
      </c>
      <c r="C11056" t="s">
        <v>10834</v>
      </c>
    </row>
    <row r="11057" spans="1:3" x14ac:dyDescent="0.25">
      <c r="A11057" t="str">
        <f>"0611863874050"</f>
        <v>0611863874050</v>
      </c>
      <c r="B11057" t="str">
        <f>"CR2525"</f>
        <v>CR2525</v>
      </c>
      <c r="C11057" t="s">
        <v>10837</v>
      </c>
    </row>
    <row r="11058" spans="1:3" x14ac:dyDescent="0.25">
      <c r="A11058" t="str">
        <f>"0611863875050"</f>
        <v>0611863875050</v>
      </c>
      <c r="B11058" t="str">
        <f>"CR2526"</f>
        <v>CR2526</v>
      </c>
      <c r="C11058" t="s">
        <v>10838</v>
      </c>
    </row>
    <row r="11059" spans="1:3" x14ac:dyDescent="0.25">
      <c r="A11059" t="str">
        <f>"0611863876050"</f>
        <v>0611863876050</v>
      </c>
      <c r="B11059" t="str">
        <f>"CR4054"</f>
        <v>CR4054</v>
      </c>
      <c r="C11059" t="s">
        <v>10839</v>
      </c>
    </row>
    <row r="11060" spans="1:3" x14ac:dyDescent="0.25">
      <c r="A11060" t="str">
        <f>"0611863877050"</f>
        <v>0611863877050</v>
      </c>
      <c r="B11060" t="str">
        <f>"CR2527"</f>
        <v>CR2527</v>
      </c>
      <c r="C11060" t="s">
        <v>10840</v>
      </c>
    </row>
    <row r="11061" spans="1:3" x14ac:dyDescent="0.25">
      <c r="A11061" t="str">
        <f>"0611863878050"</f>
        <v>0611863878050</v>
      </c>
      <c r="B11061" t="str">
        <f>"CR5011"</f>
        <v>CR5011</v>
      </c>
      <c r="C11061" t="s">
        <v>10841</v>
      </c>
    </row>
    <row r="11062" spans="1:3" x14ac:dyDescent="0.25">
      <c r="A11062" t="str">
        <f>"0611863879050"</f>
        <v>0611863879050</v>
      </c>
      <c r="B11062" t="str">
        <f>"CR4868"</f>
        <v>CR4868</v>
      </c>
      <c r="C11062" t="s">
        <v>10842</v>
      </c>
    </row>
    <row r="11063" spans="1:3" x14ac:dyDescent="0.25">
      <c r="A11063" t="str">
        <f>"0611863880050"</f>
        <v>0611863880050</v>
      </c>
      <c r="B11063" t="str">
        <f>"CR2528"</f>
        <v>CR2528</v>
      </c>
      <c r="C11063" t="s">
        <v>10843</v>
      </c>
    </row>
    <row r="11064" spans="1:3" x14ac:dyDescent="0.25">
      <c r="A11064" t="str">
        <f>"0611863881050"</f>
        <v>0611863881050</v>
      </c>
      <c r="B11064" t="str">
        <f>"CR4867"</f>
        <v>CR4867</v>
      </c>
      <c r="C11064" t="s">
        <v>10844</v>
      </c>
    </row>
    <row r="11065" spans="1:3" x14ac:dyDescent="0.25">
      <c r="A11065" t="str">
        <f>"0611863882050"</f>
        <v>0611863882050</v>
      </c>
      <c r="B11065" t="str">
        <f>"CR3914"</f>
        <v>CR3914</v>
      </c>
      <c r="C11065" t="s">
        <v>10845</v>
      </c>
    </row>
    <row r="11066" spans="1:3" x14ac:dyDescent="0.25">
      <c r="A11066" t="str">
        <f>"0611906594050"</f>
        <v>0611906594050</v>
      </c>
      <c r="B11066" t="str">
        <f>"CR5512"</f>
        <v>CR5512</v>
      </c>
      <c r="C11066" t="s">
        <v>10846</v>
      </c>
    </row>
    <row r="11067" spans="1:3" x14ac:dyDescent="0.25">
      <c r="A11067" t="str">
        <f>"0611863883050"</f>
        <v>0611863883050</v>
      </c>
      <c r="B11067" t="str">
        <f>"CR3738"</f>
        <v>CR3738</v>
      </c>
      <c r="C11067" t="s">
        <v>10847</v>
      </c>
    </row>
    <row r="11068" spans="1:3" x14ac:dyDescent="0.25">
      <c r="A11068" t="str">
        <f>"0611863884050"</f>
        <v>0611863884050</v>
      </c>
      <c r="B11068" t="str">
        <f>"CR3739"</f>
        <v>CR3739</v>
      </c>
      <c r="C11068" t="s">
        <v>10848</v>
      </c>
    </row>
    <row r="11069" spans="1:3" x14ac:dyDescent="0.25">
      <c r="A11069" t="str">
        <f>"0611863885050"</f>
        <v>0611863885050</v>
      </c>
      <c r="B11069" t="str">
        <f>"CR3740"</f>
        <v>CR3740</v>
      </c>
      <c r="C11069" t="s">
        <v>10849</v>
      </c>
    </row>
    <row r="11070" spans="1:3" x14ac:dyDescent="0.25">
      <c r="A11070" t="str">
        <f>"0611863886050"</f>
        <v>0611863886050</v>
      </c>
      <c r="B11070" t="str">
        <f>"CR3741"</f>
        <v>CR3741</v>
      </c>
      <c r="C11070" t="s">
        <v>10850</v>
      </c>
    </row>
    <row r="11071" spans="1:3" x14ac:dyDescent="0.25">
      <c r="A11071" t="str">
        <f>"0611863887050"</f>
        <v>0611863887050</v>
      </c>
      <c r="B11071" t="str">
        <f>"CR5012"</f>
        <v>CR5012</v>
      </c>
      <c r="C11071" t="s">
        <v>10851</v>
      </c>
    </row>
    <row r="11072" spans="1:3" x14ac:dyDescent="0.25">
      <c r="A11072" t="str">
        <f>"0611863888050"</f>
        <v>0611863888050</v>
      </c>
      <c r="B11072" t="str">
        <f>"CR2529"</f>
        <v>CR2529</v>
      </c>
      <c r="C11072" t="s">
        <v>10852</v>
      </c>
    </row>
    <row r="11073" spans="1:3" x14ac:dyDescent="0.25">
      <c r="A11073" t="str">
        <f>"0611838582100"</f>
        <v>0611838582100</v>
      </c>
      <c r="B11073" t="str">
        <f>"LK5333"</f>
        <v>LK5333</v>
      </c>
      <c r="C11073" t="s">
        <v>10853</v>
      </c>
    </row>
    <row r="11074" spans="1:3" x14ac:dyDescent="0.25">
      <c r="A11074" t="str">
        <f>"0611884408100"</f>
        <v>0611884408100</v>
      </c>
      <c r="B11074" t="str">
        <f>"LF9114"</f>
        <v>LF9114</v>
      </c>
      <c r="C11074" t="s">
        <v>10854</v>
      </c>
    </row>
    <row r="11075" spans="1:3" x14ac:dyDescent="0.25">
      <c r="A11075" t="str">
        <f>"0611838625100"</f>
        <v>0611838625100</v>
      </c>
      <c r="B11075" t="str">
        <f>"MB6000"</f>
        <v>MB6000</v>
      </c>
      <c r="C11075" t="s">
        <v>10855</v>
      </c>
    </row>
    <row r="11076" spans="1:3" x14ac:dyDescent="0.25">
      <c r="A11076" t="str">
        <f>"0611838584100"</f>
        <v>0611838584100</v>
      </c>
      <c r="B11076" t="str">
        <f>"LK4887"</f>
        <v>LK4887</v>
      </c>
      <c r="C11076" t="s">
        <v>10857</v>
      </c>
    </row>
    <row r="11077" spans="1:3" x14ac:dyDescent="0.25">
      <c r="A11077" t="str">
        <f>"0611838585100"</f>
        <v>0611838585100</v>
      </c>
      <c r="B11077" t="str">
        <f>"LK4888"</f>
        <v>LK4888</v>
      </c>
      <c r="C11077" t="s">
        <v>10858</v>
      </c>
    </row>
    <row r="11078" spans="1:3" x14ac:dyDescent="0.25">
      <c r="A11078" t="str">
        <f>"0611838586100"</f>
        <v>0611838586100</v>
      </c>
      <c r="B11078" t="str">
        <f>"LK4889"</f>
        <v>LK4889</v>
      </c>
      <c r="C11078" t="s">
        <v>10859</v>
      </c>
    </row>
    <row r="11079" spans="1:3" x14ac:dyDescent="0.25">
      <c r="A11079" t="str">
        <f>"0611838587100"</f>
        <v>0611838587100</v>
      </c>
      <c r="B11079" t="str">
        <f>"LK4890"</f>
        <v>LK4890</v>
      </c>
      <c r="C11079" t="s">
        <v>10860</v>
      </c>
    </row>
    <row r="11080" spans="1:3" x14ac:dyDescent="0.25">
      <c r="A11080" t="str">
        <f>"0611838588100"</f>
        <v>0611838588100</v>
      </c>
      <c r="B11080" t="str">
        <f>"LK4891"</f>
        <v>LK4891</v>
      </c>
      <c r="C11080" t="s">
        <v>10861</v>
      </c>
    </row>
    <row r="11081" spans="1:3" x14ac:dyDescent="0.25">
      <c r="A11081" t="str">
        <f>"0611838589100"</f>
        <v>0611838589100</v>
      </c>
      <c r="B11081" t="str">
        <f>"LK4892"</f>
        <v>LK4892</v>
      </c>
      <c r="C11081" t="s">
        <v>10862</v>
      </c>
    </row>
    <row r="11082" spans="1:3" x14ac:dyDescent="0.25">
      <c r="A11082" t="str">
        <f>"0611838590100"</f>
        <v>0611838590100</v>
      </c>
      <c r="B11082" t="str">
        <f>"LK4893"</f>
        <v>LK4893</v>
      </c>
      <c r="C11082" t="s">
        <v>10863</v>
      </c>
    </row>
    <row r="11083" spans="1:3" x14ac:dyDescent="0.25">
      <c r="A11083" t="str">
        <f>"0611838591100"</f>
        <v>0611838591100</v>
      </c>
      <c r="B11083" t="str">
        <f>"LK4894"</f>
        <v>LK4894</v>
      </c>
      <c r="C11083" t="s">
        <v>10864</v>
      </c>
    </row>
    <row r="11084" spans="1:3" x14ac:dyDescent="0.25">
      <c r="A11084" t="str">
        <f>"0611838594100"</f>
        <v>0611838594100</v>
      </c>
      <c r="B11084" t="str">
        <f>"LK5122"</f>
        <v>LK5122</v>
      </c>
      <c r="C11084" t="s">
        <v>10865</v>
      </c>
    </row>
    <row r="11085" spans="1:3" x14ac:dyDescent="0.25">
      <c r="A11085" t="str">
        <f>"0611838592100"</f>
        <v>0611838592100</v>
      </c>
      <c r="B11085" t="str">
        <f>"LK4895"</f>
        <v>LK4895</v>
      </c>
      <c r="C11085" t="s">
        <v>10866</v>
      </c>
    </row>
    <row r="11086" spans="1:3" x14ac:dyDescent="0.25">
      <c r="A11086" t="str">
        <f>"0611838593100"</f>
        <v>0611838593100</v>
      </c>
      <c r="B11086" t="str">
        <f>"LK5123"</f>
        <v>LK5123</v>
      </c>
      <c r="C11086" t="s">
        <v>10867</v>
      </c>
    </row>
    <row r="11087" spans="1:3" x14ac:dyDescent="0.25">
      <c r="A11087" t="str">
        <f>"0611838595100"</f>
        <v>0611838595100</v>
      </c>
      <c r="B11087" t="str">
        <f>"LK5126"</f>
        <v>LK5126</v>
      </c>
      <c r="C11087" t="s">
        <v>10868</v>
      </c>
    </row>
    <row r="11088" spans="1:3" x14ac:dyDescent="0.25">
      <c r="A11088" t="str">
        <f>"0611838597100"</f>
        <v>0611838597100</v>
      </c>
      <c r="B11088" t="str">
        <f>"LB7927"</f>
        <v>LB7927</v>
      </c>
      <c r="C11088" t="s">
        <v>10869</v>
      </c>
    </row>
    <row r="11089" spans="1:3" x14ac:dyDescent="0.25">
      <c r="A11089" t="str">
        <f>"0611884409100"</f>
        <v>0611884409100</v>
      </c>
      <c r="B11089" t="str">
        <f>"LQ3926"</f>
        <v>LQ3926</v>
      </c>
      <c r="C11089" t="s">
        <v>10870</v>
      </c>
    </row>
    <row r="11090" spans="1:3" x14ac:dyDescent="0.25">
      <c r="A11090" t="str">
        <f>"0611838598100"</f>
        <v>0611838598100</v>
      </c>
      <c r="B11090" t="str">
        <f>"LQ6183"</f>
        <v>LQ6183</v>
      </c>
      <c r="C11090" t="s">
        <v>10871</v>
      </c>
    </row>
    <row r="11091" spans="1:3" x14ac:dyDescent="0.25">
      <c r="A11091" t="str">
        <f>"0611838599100"</f>
        <v>0611838599100</v>
      </c>
      <c r="B11091" t="str">
        <f>"LB7907"</f>
        <v>LB7907</v>
      </c>
      <c r="C11091" t="s">
        <v>10872</v>
      </c>
    </row>
    <row r="11092" spans="1:3" x14ac:dyDescent="0.25">
      <c r="A11092" t="str">
        <f>"0611863889100"</f>
        <v>0611863889100</v>
      </c>
      <c r="B11092" t="str">
        <f>"CN2239"</f>
        <v>CN2239</v>
      </c>
      <c r="C11092" t="s">
        <v>10873</v>
      </c>
    </row>
    <row r="11093" spans="1:3" x14ac:dyDescent="0.25">
      <c r="A11093" t="str">
        <f>"0611838600100"</f>
        <v>0611838600100</v>
      </c>
      <c r="B11093" t="str">
        <f>"LB7928"</f>
        <v>LB7928</v>
      </c>
      <c r="C11093" t="s">
        <v>10874</v>
      </c>
    </row>
    <row r="11094" spans="1:3" x14ac:dyDescent="0.25">
      <c r="A11094" t="str">
        <f>"0611838601100"</f>
        <v>0611838601100</v>
      </c>
      <c r="B11094" t="str">
        <f>"LB7929"</f>
        <v>LB7929</v>
      </c>
      <c r="C11094" t="s">
        <v>10875</v>
      </c>
    </row>
    <row r="11095" spans="1:3" x14ac:dyDescent="0.25">
      <c r="A11095" t="str">
        <f>"0611838602100"</f>
        <v>0611838602100</v>
      </c>
      <c r="B11095" t="str">
        <f>"LQ6170"</f>
        <v>LQ6170</v>
      </c>
      <c r="C11095" t="s">
        <v>10876</v>
      </c>
    </row>
    <row r="11096" spans="1:3" x14ac:dyDescent="0.25">
      <c r="A11096" t="str">
        <f>"0611838603100"</f>
        <v>0611838603100</v>
      </c>
      <c r="B11096" t="str">
        <f>"LQ6171"</f>
        <v>LQ6171</v>
      </c>
      <c r="C11096" t="s">
        <v>10877</v>
      </c>
    </row>
    <row r="11097" spans="1:3" x14ac:dyDescent="0.25">
      <c r="A11097" t="str">
        <f>"0611838604100"</f>
        <v>0611838604100</v>
      </c>
      <c r="B11097" t="str">
        <f>"LQ5872"</f>
        <v>LQ5872</v>
      </c>
      <c r="C11097" t="s">
        <v>10878</v>
      </c>
    </row>
    <row r="11098" spans="1:3" x14ac:dyDescent="0.25">
      <c r="A11098" t="str">
        <f>"0611838605100"</f>
        <v>0611838605100</v>
      </c>
      <c r="B11098" t="str">
        <f>"LQ5873"</f>
        <v>LQ5873</v>
      </c>
      <c r="C11098" t="s">
        <v>10879</v>
      </c>
    </row>
    <row r="11099" spans="1:3" x14ac:dyDescent="0.25">
      <c r="A11099" t="str">
        <f>"0611838606100"</f>
        <v>0611838606100</v>
      </c>
      <c r="B11099" t="str">
        <f>"LQ6215"</f>
        <v>LQ6215</v>
      </c>
      <c r="C11099" t="s">
        <v>10880</v>
      </c>
    </row>
    <row r="11100" spans="1:3" x14ac:dyDescent="0.25">
      <c r="A11100" t="str">
        <f>"0611906911100"</f>
        <v>0611906911100</v>
      </c>
      <c r="B11100" t="str">
        <f>"LQ6331"</f>
        <v>LQ6331</v>
      </c>
      <c r="C11100" t="s">
        <v>10881</v>
      </c>
    </row>
    <row r="11101" spans="1:3" x14ac:dyDescent="0.25">
      <c r="A11101" t="str">
        <f>"0611838607100"</f>
        <v>0611838607100</v>
      </c>
      <c r="B11101" t="str">
        <f>"LQ6216"</f>
        <v>LQ6216</v>
      </c>
      <c r="C11101" t="s">
        <v>10882</v>
      </c>
    </row>
    <row r="11102" spans="1:3" x14ac:dyDescent="0.25">
      <c r="A11102" t="str">
        <f>"0611857086100"</f>
        <v>0611857086100</v>
      </c>
      <c r="B11102" t="str">
        <f>"LQ6276"</f>
        <v>LQ6276</v>
      </c>
      <c r="C11102" t="s">
        <v>10883</v>
      </c>
    </row>
    <row r="11103" spans="1:3" x14ac:dyDescent="0.25">
      <c r="A11103" t="str">
        <f>"0611838608100"</f>
        <v>0611838608100</v>
      </c>
      <c r="B11103" t="str">
        <f>"LQ6217"</f>
        <v>LQ6217</v>
      </c>
      <c r="C11103" t="s">
        <v>10884</v>
      </c>
    </row>
    <row r="11104" spans="1:3" x14ac:dyDescent="0.25">
      <c r="A11104" t="str">
        <f>"0611906912100"</f>
        <v>0611906912100</v>
      </c>
      <c r="B11104" t="str">
        <f>"LQ6332"</f>
        <v>LQ6332</v>
      </c>
      <c r="C11104" t="s">
        <v>10885</v>
      </c>
    </row>
    <row r="11105" spans="1:3" x14ac:dyDescent="0.25">
      <c r="A11105" t="str">
        <f>"0611857087100"</f>
        <v>0611857087100</v>
      </c>
      <c r="B11105" t="str">
        <f>"LQ6277"</f>
        <v>LQ6277</v>
      </c>
      <c r="C11105" t="s">
        <v>10886</v>
      </c>
    </row>
    <row r="11106" spans="1:3" x14ac:dyDescent="0.25">
      <c r="A11106" t="str">
        <f>"0611838609100"</f>
        <v>0611838609100</v>
      </c>
      <c r="B11106" t="str">
        <f>"LQ6218"</f>
        <v>LQ6218</v>
      </c>
      <c r="C11106" t="s">
        <v>10887</v>
      </c>
    </row>
    <row r="11107" spans="1:3" x14ac:dyDescent="0.25">
      <c r="A11107" t="str">
        <f>"0611857088100"</f>
        <v>0611857088100</v>
      </c>
      <c r="B11107" t="str">
        <f>"LQ6278"</f>
        <v>LQ6278</v>
      </c>
      <c r="C11107" t="s">
        <v>10888</v>
      </c>
    </row>
    <row r="11108" spans="1:3" x14ac:dyDescent="0.25">
      <c r="A11108" t="str">
        <f>"0611906913100"</f>
        <v>0611906913100</v>
      </c>
      <c r="B11108" t="str">
        <f>"LQ6333"</f>
        <v>LQ6333</v>
      </c>
      <c r="C11108" t="s">
        <v>10889</v>
      </c>
    </row>
    <row r="11109" spans="1:3" x14ac:dyDescent="0.25">
      <c r="A11109" t="str">
        <f>"0611838610100"</f>
        <v>0611838610100</v>
      </c>
      <c r="B11109" t="str">
        <f>"LQ6169"</f>
        <v>LQ6169</v>
      </c>
      <c r="C11109" t="s">
        <v>10890</v>
      </c>
    </row>
    <row r="11110" spans="1:3" x14ac:dyDescent="0.25">
      <c r="A11110" t="str">
        <f>"0611906914100"</f>
        <v>0611906914100</v>
      </c>
      <c r="B11110" t="str">
        <f>"LQ6334"</f>
        <v>LQ6334</v>
      </c>
      <c r="C11110" t="s">
        <v>10891</v>
      </c>
    </row>
    <row r="11111" spans="1:3" x14ac:dyDescent="0.25">
      <c r="A11111" t="str">
        <f>"0611838611100"</f>
        <v>0611838611100</v>
      </c>
      <c r="B11111" t="str">
        <f>"LQ6113"</f>
        <v>LQ6113</v>
      </c>
      <c r="C11111" t="s">
        <v>10892</v>
      </c>
    </row>
    <row r="11112" spans="1:3" x14ac:dyDescent="0.25">
      <c r="A11112" t="str">
        <f>"0611857089100"</f>
        <v>0611857089100</v>
      </c>
      <c r="B11112" t="str">
        <f>"LQ6279"</f>
        <v>LQ6279</v>
      </c>
      <c r="C11112" t="s">
        <v>10893</v>
      </c>
    </row>
    <row r="11113" spans="1:3" x14ac:dyDescent="0.25">
      <c r="A11113" t="str">
        <f>"0611838612100"</f>
        <v>0611838612100</v>
      </c>
      <c r="B11113" t="str">
        <f>"LQ6114"</f>
        <v>LQ6114</v>
      </c>
      <c r="C11113" t="s">
        <v>10894</v>
      </c>
    </row>
    <row r="11114" spans="1:3" x14ac:dyDescent="0.25">
      <c r="A11114" t="str">
        <f>"0611906915100"</f>
        <v>0611906915100</v>
      </c>
      <c r="B11114" t="str">
        <f>"LQ6335"</f>
        <v>LQ6335</v>
      </c>
      <c r="C11114" t="s">
        <v>10895</v>
      </c>
    </row>
    <row r="11115" spans="1:3" x14ac:dyDescent="0.25">
      <c r="A11115" t="str">
        <f>"0611838613100"</f>
        <v>0611838613100</v>
      </c>
      <c r="B11115" t="str">
        <f>"LQ6115"</f>
        <v>LQ6115</v>
      </c>
      <c r="C11115" t="s">
        <v>10896</v>
      </c>
    </row>
    <row r="11116" spans="1:3" x14ac:dyDescent="0.25">
      <c r="A11116" t="str">
        <f>"0611857090100"</f>
        <v>0611857090100</v>
      </c>
      <c r="B11116" t="str">
        <f>"LQ6280"</f>
        <v>LQ6280</v>
      </c>
      <c r="C11116" t="s">
        <v>10897</v>
      </c>
    </row>
    <row r="11117" spans="1:3" x14ac:dyDescent="0.25">
      <c r="A11117" t="str">
        <f>"0611857091100"</f>
        <v>0611857091100</v>
      </c>
      <c r="B11117" t="str">
        <f>"LQ6281"</f>
        <v>LQ6281</v>
      </c>
      <c r="C11117" t="s">
        <v>10898</v>
      </c>
    </row>
    <row r="11118" spans="1:3" x14ac:dyDescent="0.25">
      <c r="A11118" t="str">
        <f>"0611838614100"</f>
        <v>0611838614100</v>
      </c>
      <c r="B11118" t="str">
        <f>"LQ6116"</f>
        <v>LQ6116</v>
      </c>
      <c r="C11118" t="s">
        <v>10899</v>
      </c>
    </row>
    <row r="11119" spans="1:3" x14ac:dyDescent="0.25">
      <c r="A11119" t="str">
        <f>"0611857092100"</f>
        <v>0611857092100</v>
      </c>
      <c r="B11119" t="str">
        <f>"LQ6282"</f>
        <v>LQ6282</v>
      </c>
      <c r="C11119" t="s">
        <v>10900</v>
      </c>
    </row>
    <row r="11120" spans="1:3" x14ac:dyDescent="0.25">
      <c r="A11120" t="str">
        <f>"0611838615100"</f>
        <v>0611838615100</v>
      </c>
      <c r="B11120" t="str">
        <f>"LQ6117"</f>
        <v>LQ6117</v>
      </c>
      <c r="C11120" t="s">
        <v>10901</v>
      </c>
    </row>
    <row r="11121" spans="1:3" x14ac:dyDescent="0.25">
      <c r="A11121" t="str">
        <f>"0611838616100"</f>
        <v>0611838616100</v>
      </c>
      <c r="B11121" t="str">
        <f>"LQ6084"</f>
        <v>LQ6084</v>
      </c>
      <c r="C11121" t="s">
        <v>10902</v>
      </c>
    </row>
    <row r="11122" spans="1:3" x14ac:dyDescent="0.25">
      <c r="A11122" t="str">
        <f>"0611838617100"</f>
        <v>0611838617100</v>
      </c>
      <c r="B11122" t="str">
        <f>"LQ0470"</f>
        <v>LQ0470</v>
      </c>
      <c r="C11122" t="s">
        <v>10903</v>
      </c>
    </row>
    <row r="11123" spans="1:3" x14ac:dyDescent="0.25">
      <c r="A11123" t="str">
        <f>"0611838619100"</f>
        <v>0611838619100</v>
      </c>
      <c r="B11123" t="str">
        <f>"LQ0469"</f>
        <v>LQ0469</v>
      </c>
      <c r="C11123" t="s">
        <v>10904</v>
      </c>
    </row>
    <row r="11124" spans="1:3" x14ac:dyDescent="0.25">
      <c r="A11124" t="str">
        <f>"0611838620100"</f>
        <v>0611838620100</v>
      </c>
      <c r="B11124" t="str">
        <f>"LQ5741"</f>
        <v>LQ5741</v>
      </c>
      <c r="C11124" t="s">
        <v>10905</v>
      </c>
    </row>
    <row r="11125" spans="1:3" x14ac:dyDescent="0.25">
      <c r="A11125" t="str">
        <f>"0611838621100"</f>
        <v>0611838621100</v>
      </c>
      <c r="B11125" t="str">
        <f>"LQ5566"</f>
        <v>LQ5566</v>
      </c>
      <c r="C11125" t="s">
        <v>10906</v>
      </c>
    </row>
    <row r="11126" spans="1:3" x14ac:dyDescent="0.25">
      <c r="A11126" t="str">
        <f>"0611838622100"</f>
        <v>0611838622100</v>
      </c>
      <c r="B11126" t="str">
        <f>"LQ6118"</f>
        <v>LQ6118</v>
      </c>
      <c r="C11126" t="s">
        <v>10907</v>
      </c>
    </row>
    <row r="11127" spans="1:3" x14ac:dyDescent="0.25">
      <c r="A11127" t="str">
        <f>"0611838623100"</f>
        <v>0611838623100</v>
      </c>
      <c r="B11127" t="str">
        <f>"LQ5979"</f>
        <v>LQ5979</v>
      </c>
      <c r="C11127" t="s">
        <v>10908</v>
      </c>
    </row>
    <row r="11128" spans="1:3" x14ac:dyDescent="0.25">
      <c r="A11128" t="str">
        <f>"0611838624100"</f>
        <v>0611838624100</v>
      </c>
      <c r="B11128" t="str">
        <f>"LK4610"</f>
        <v>LK4610</v>
      </c>
      <c r="C11128" t="s">
        <v>10909</v>
      </c>
    </row>
    <row r="11129" spans="1:3" x14ac:dyDescent="0.25">
      <c r="A11129" t="str">
        <f>"0611838626100"</f>
        <v>0611838626100</v>
      </c>
      <c r="B11129" t="str">
        <f>"LK4611"</f>
        <v>LK4611</v>
      </c>
      <c r="C11129" t="s">
        <v>10910</v>
      </c>
    </row>
    <row r="11130" spans="1:3" x14ac:dyDescent="0.25">
      <c r="A11130" t="str">
        <f>"0611838627100"</f>
        <v>0611838627100</v>
      </c>
      <c r="B11130" t="str">
        <f>"MB2880"</f>
        <v>MB2880</v>
      </c>
      <c r="C11130" t="s">
        <v>10911</v>
      </c>
    </row>
    <row r="11131" spans="1:3" x14ac:dyDescent="0.25">
      <c r="A11131" t="str">
        <f>"0611838628100"</f>
        <v>0611838628100</v>
      </c>
      <c r="B11131" t="str">
        <f>"LK2581"</f>
        <v>LK2581</v>
      </c>
      <c r="C11131" t="s">
        <v>10912</v>
      </c>
    </row>
    <row r="11132" spans="1:3" x14ac:dyDescent="0.25">
      <c r="A11132" t="str">
        <f>"0611838629100"</f>
        <v>0611838629100</v>
      </c>
      <c r="B11132" t="str">
        <f>"LB7930"</f>
        <v>LB7930</v>
      </c>
      <c r="C11132" t="s">
        <v>10913</v>
      </c>
    </row>
    <row r="11133" spans="1:3" x14ac:dyDescent="0.25">
      <c r="A11133" t="str">
        <f>"0611838630100"</f>
        <v>0611838630100</v>
      </c>
      <c r="B11133" t="str">
        <f>"LB7931"</f>
        <v>LB7931</v>
      </c>
      <c r="C11133" t="s">
        <v>10914</v>
      </c>
    </row>
    <row r="11134" spans="1:3" x14ac:dyDescent="0.25">
      <c r="A11134" t="str">
        <f>"0611838631100"</f>
        <v>0611838631100</v>
      </c>
      <c r="B11134" t="str">
        <f>"LD0041"</f>
        <v>LD0041</v>
      </c>
      <c r="C11134" t="s">
        <v>10915</v>
      </c>
    </row>
    <row r="11135" spans="1:3" x14ac:dyDescent="0.25">
      <c r="A11135" t="str">
        <f>"0611838632100"</f>
        <v>0611838632100</v>
      </c>
      <c r="B11135" t="str">
        <f>"LD0042"</f>
        <v>LD0042</v>
      </c>
      <c r="C11135" t="s">
        <v>10916</v>
      </c>
    </row>
    <row r="11136" spans="1:3" x14ac:dyDescent="0.25">
      <c r="A11136" t="str">
        <f>"0611838633100"</f>
        <v>0611838633100</v>
      </c>
      <c r="B11136" t="str">
        <f>"LK6214"</f>
        <v>LK6214</v>
      </c>
      <c r="C11136" t="s">
        <v>10917</v>
      </c>
    </row>
    <row r="11137" spans="1:3" x14ac:dyDescent="0.25">
      <c r="A11137" t="str">
        <f>"0611906916100"</f>
        <v>0611906916100</v>
      </c>
      <c r="B11137" t="str">
        <f>"LQ3984"</f>
        <v>LQ3984</v>
      </c>
      <c r="C11137" t="s">
        <v>10918</v>
      </c>
    </row>
    <row r="11138" spans="1:3" x14ac:dyDescent="0.25">
      <c r="A11138" t="str">
        <f>"0611906917100"</f>
        <v>0611906917100</v>
      </c>
      <c r="B11138" t="str">
        <f>"LQ3985"</f>
        <v>LQ3985</v>
      </c>
      <c r="C11138" t="s">
        <v>10919</v>
      </c>
    </row>
    <row r="11139" spans="1:3" x14ac:dyDescent="0.25">
      <c r="A11139" t="str">
        <f>"0611906918100"</f>
        <v>0611906918100</v>
      </c>
      <c r="B11139" t="str">
        <f>"LQ3986"</f>
        <v>LQ3986</v>
      </c>
      <c r="C11139" t="s">
        <v>10920</v>
      </c>
    </row>
    <row r="11140" spans="1:3" x14ac:dyDescent="0.25">
      <c r="A11140" t="str">
        <f>"0611838634100"</f>
        <v>0611838634100</v>
      </c>
      <c r="B11140" t="str">
        <f>"LK5814"</f>
        <v>LK5814</v>
      </c>
      <c r="C11140" t="s">
        <v>10921</v>
      </c>
    </row>
    <row r="11141" spans="1:3" x14ac:dyDescent="0.25">
      <c r="A11141" t="str">
        <f>"0611838635100"</f>
        <v>0611838635100</v>
      </c>
      <c r="B11141" t="str">
        <f>"LK3504"</f>
        <v>LK3504</v>
      </c>
      <c r="C11141" t="s">
        <v>10922</v>
      </c>
    </row>
    <row r="11142" spans="1:3" x14ac:dyDescent="0.25">
      <c r="A11142" t="str">
        <f>"0611838636100"</f>
        <v>0611838636100</v>
      </c>
      <c r="B11142" t="str">
        <f>"LK2705"</f>
        <v>LK2705</v>
      </c>
      <c r="C11142" t="s">
        <v>10923</v>
      </c>
    </row>
    <row r="11143" spans="1:3" x14ac:dyDescent="0.25">
      <c r="A11143" t="str">
        <f>"0611838637100"</f>
        <v>0611838637100</v>
      </c>
      <c r="B11143" t="str">
        <f>"LK2377"</f>
        <v>LK2377</v>
      </c>
      <c r="C11143" t="s">
        <v>10924</v>
      </c>
    </row>
    <row r="11144" spans="1:3" x14ac:dyDescent="0.25">
      <c r="A11144" t="str">
        <f>"0611838639100"</f>
        <v>0611838639100</v>
      </c>
      <c r="B11144" t="str">
        <f>"LK5815"</f>
        <v>LK5815</v>
      </c>
      <c r="C11144" t="s">
        <v>10925</v>
      </c>
    </row>
    <row r="11145" spans="1:3" x14ac:dyDescent="0.25">
      <c r="A11145" t="str">
        <f>"0611838641100"</f>
        <v>0611838641100</v>
      </c>
      <c r="B11145" t="str">
        <f>"LK5817"</f>
        <v>LK5817</v>
      </c>
      <c r="C11145" t="s">
        <v>10926</v>
      </c>
    </row>
    <row r="11146" spans="1:3" x14ac:dyDescent="0.25">
      <c r="A11146" t="str">
        <f>"0611838642100"</f>
        <v>0611838642100</v>
      </c>
      <c r="B11146" t="str">
        <f>"LB7934"</f>
        <v>LB7934</v>
      </c>
      <c r="C11146" t="s">
        <v>10927</v>
      </c>
    </row>
    <row r="11147" spans="1:3" x14ac:dyDescent="0.25">
      <c r="A11147" t="str">
        <f>"0611838643100"</f>
        <v>0611838643100</v>
      </c>
      <c r="B11147" t="str">
        <f>"LK5915"</f>
        <v>LK5915</v>
      </c>
      <c r="C11147" t="s">
        <v>10928</v>
      </c>
    </row>
    <row r="11148" spans="1:3" x14ac:dyDescent="0.25">
      <c r="A11148" t="str">
        <f>"0611838644100"</f>
        <v>0611838644100</v>
      </c>
      <c r="B11148" t="str">
        <f>"LK7031"</f>
        <v>LK7031</v>
      </c>
      <c r="C11148" t="s">
        <v>10929</v>
      </c>
    </row>
    <row r="11149" spans="1:3" x14ac:dyDescent="0.25">
      <c r="A11149" t="str">
        <f>"0611838646100"</f>
        <v>0611838646100</v>
      </c>
      <c r="B11149" t="str">
        <f>"LK7032"</f>
        <v>LK7032</v>
      </c>
      <c r="C11149" t="s">
        <v>10930</v>
      </c>
    </row>
    <row r="11150" spans="1:3" x14ac:dyDescent="0.25">
      <c r="A11150" t="str">
        <f>"0611838647100"</f>
        <v>0611838647100</v>
      </c>
      <c r="B11150" t="str">
        <f>"LB7946"</f>
        <v>LB7946</v>
      </c>
      <c r="C11150" t="s">
        <v>10931</v>
      </c>
    </row>
    <row r="11151" spans="1:3" x14ac:dyDescent="0.25">
      <c r="A11151" t="str">
        <f>"0611838648100"</f>
        <v>0611838648100</v>
      </c>
      <c r="B11151" t="str">
        <f>"LB7953"</f>
        <v>LB7953</v>
      </c>
      <c r="C11151" t="s">
        <v>10932</v>
      </c>
    </row>
    <row r="11152" spans="1:3" x14ac:dyDescent="0.25">
      <c r="A11152" t="str">
        <f>"0611838649100"</f>
        <v>0611838649100</v>
      </c>
      <c r="B11152" t="str">
        <f>"LK7033"</f>
        <v>LK7033</v>
      </c>
      <c r="C11152" t="s">
        <v>10933</v>
      </c>
    </row>
    <row r="11153" spans="1:3" x14ac:dyDescent="0.25">
      <c r="A11153" t="str">
        <f>"0611838650100"</f>
        <v>0611838650100</v>
      </c>
      <c r="B11153" t="str">
        <f>"LB7911"</f>
        <v>LB7911</v>
      </c>
      <c r="C11153" t="s">
        <v>10934</v>
      </c>
    </row>
    <row r="11154" spans="1:3" x14ac:dyDescent="0.25">
      <c r="A11154" t="str">
        <f>"0611838651100"</f>
        <v>0611838651100</v>
      </c>
      <c r="B11154" t="str">
        <f>"LB7947"</f>
        <v>LB7947</v>
      </c>
      <c r="C11154" t="s">
        <v>10935</v>
      </c>
    </row>
    <row r="11155" spans="1:3" x14ac:dyDescent="0.25">
      <c r="A11155" t="str">
        <f>"0611838652100"</f>
        <v>0611838652100</v>
      </c>
      <c r="B11155" t="str">
        <f>"LB7948"</f>
        <v>LB7948</v>
      </c>
      <c r="C11155" t="s">
        <v>10936</v>
      </c>
    </row>
    <row r="11156" spans="1:3" x14ac:dyDescent="0.25">
      <c r="A11156" t="str">
        <f>"0611838653100"</f>
        <v>0611838653100</v>
      </c>
      <c r="B11156" t="str">
        <f>"LB7915"</f>
        <v>LB7915</v>
      </c>
      <c r="C11156" t="s">
        <v>10937</v>
      </c>
    </row>
    <row r="11157" spans="1:3" x14ac:dyDescent="0.25">
      <c r="A11157" t="str">
        <f>"0611906919100"</f>
        <v>0611906919100</v>
      </c>
      <c r="B11157" t="str">
        <f>"LK7269"</f>
        <v>LK7269</v>
      </c>
      <c r="C11157" t="s">
        <v>10938</v>
      </c>
    </row>
    <row r="11158" spans="1:3" x14ac:dyDescent="0.25">
      <c r="A11158" t="str">
        <f>"0611838654100"</f>
        <v>0611838654100</v>
      </c>
      <c r="B11158" t="str">
        <f>"LB7904"</f>
        <v>LB7904</v>
      </c>
      <c r="C11158" t="s">
        <v>10939</v>
      </c>
    </row>
    <row r="11159" spans="1:3" x14ac:dyDescent="0.25">
      <c r="A11159" t="str">
        <f>"0611838655100"</f>
        <v>0611838655100</v>
      </c>
      <c r="B11159" t="str">
        <f>"LB7949"</f>
        <v>LB7949</v>
      </c>
      <c r="C11159" t="s">
        <v>10940</v>
      </c>
    </row>
    <row r="11160" spans="1:3" x14ac:dyDescent="0.25">
      <c r="A11160" t="str">
        <f>"0611838656100"</f>
        <v>0611838656100</v>
      </c>
      <c r="B11160" t="str">
        <f>"LB7950"</f>
        <v>LB7950</v>
      </c>
      <c r="C11160" t="s">
        <v>10941</v>
      </c>
    </row>
    <row r="11161" spans="1:3" x14ac:dyDescent="0.25">
      <c r="A11161" t="str">
        <f>"0611838657100"</f>
        <v>0611838657100</v>
      </c>
      <c r="B11161" t="str">
        <f>"LB7958"</f>
        <v>LB7958</v>
      </c>
      <c r="C11161" t="s">
        <v>10942</v>
      </c>
    </row>
    <row r="11162" spans="1:3" x14ac:dyDescent="0.25">
      <c r="A11162" t="str">
        <f>"0611906920100"</f>
        <v>0611906920100</v>
      </c>
      <c r="B11162" t="str">
        <f>"LK7270"</f>
        <v>LK7270</v>
      </c>
      <c r="C11162" t="s">
        <v>10943</v>
      </c>
    </row>
    <row r="11163" spans="1:3" x14ac:dyDescent="0.25">
      <c r="A11163" t="str">
        <f>"0611906921100"</f>
        <v>0611906921100</v>
      </c>
      <c r="B11163" t="str">
        <f>"LK7271"</f>
        <v>LK7271</v>
      </c>
      <c r="C11163" t="s">
        <v>10944</v>
      </c>
    </row>
    <row r="11164" spans="1:3" x14ac:dyDescent="0.25">
      <c r="A11164" t="str">
        <f>"0611838658100"</f>
        <v>0611838658100</v>
      </c>
      <c r="B11164" t="str">
        <f>"LB7951"</f>
        <v>LB7951</v>
      </c>
      <c r="C11164" t="s">
        <v>10945</v>
      </c>
    </row>
    <row r="11165" spans="1:3" x14ac:dyDescent="0.25">
      <c r="A11165" t="str">
        <f>"0611838659100"</f>
        <v>0611838659100</v>
      </c>
      <c r="B11165" t="str">
        <f>"LB7952"</f>
        <v>LB7952</v>
      </c>
      <c r="C11165" t="s">
        <v>10946</v>
      </c>
    </row>
    <row r="11166" spans="1:3" x14ac:dyDescent="0.25">
      <c r="A11166" t="str">
        <f>"0611838666100"</f>
        <v>0611838666100</v>
      </c>
      <c r="B11166" t="str">
        <f>"LK0929"</f>
        <v>LK0929</v>
      </c>
      <c r="C11166" t="s">
        <v>10947</v>
      </c>
    </row>
    <row r="11167" spans="1:3" x14ac:dyDescent="0.25">
      <c r="A11167" t="str">
        <f>"0611838667100"</f>
        <v>0611838667100</v>
      </c>
      <c r="B11167" t="str">
        <f>"LK0930"</f>
        <v>LK0930</v>
      </c>
      <c r="C11167" t="s">
        <v>10948</v>
      </c>
    </row>
    <row r="11168" spans="1:3" x14ac:dyDescent="0.25">
      <c r="A11168" t="str">
        <f>"0611838668100"</f>
        <v>0611838668100</v>
      </c>
      <c r="B11168" t="str">
        <f>"LK0932"</f>
        <v>LK0932</v>
      </c>
      <c r="C11168" t="s">
        <v>10949</v>
      </c>
    </row>
    <row r="11169" spans="1:3" x14ac:dyDescent="0.25">
      <c r="A11169" t="str">
        <f>"0611838669100"</f>
        <v>0611838669100</v>
      </c>
      <c r="B11169" t="str">
        <f>"LK0934"</f>
        <v>LK0934</v>
      </c>
      <c r="C11169" t="s">
        <v>10950</v>
      </c>
    </row>
    <row r="11170" spans="1:3" x14ac:dyDescent="0.25">
      <c r="A11170" t="str">
        <f>"0611838671100"</f>
        <v>0611838671100</v>
      </c>
      <c r="B11170" t="str">
        <f>"LK1991"</f>
        <v>LK1991</v>
      </c>
      <c r="C11170" t="s">
        <v>10951</v>
      </c>
    </row>
    <row r="11171" spans="1:3" x14ac:dyDescent="0.25">
      <c r="A11171" t="str">
        <f>"0611838673100"</f>
        <v>0611838673100</v>
      </c>
      <c r="B11171" t="str">
        <f>"LK4017"</f>
        <v>LK4017</v>
      </c>
      <c r="C11171" t="s">
        <v>10952</v>
      </c>
    </row>
    <row r="11172" spans="1:3" x14ac:dyDescent="0.25">
      <c r="A11172" t="str">
        <f>"0611838675100"</f>
        <v>0611838675100</v>
      </c>
      <c r="B11172" t="str">
        <f>"LK4019"</f>
        <v>LK4019</v>
      </c>
      <c r="C11172" t="s">
        <v>10953</v>
      </c>
    </row>
    <row r="11173" spans="1:3" x14ac:dyDescent="0.25">
      <c r="A11173" t="str">
        <f>"0611863890100"</f>
        <v>0611863890100</v>
      </c>
      <c r="B11173" t="str">
        <f>"CN2240"</f>
        <v>CN2240</v>
      </c>
      <c r="C11173" t="s">
        <v>10954</v>
      </c>
    </row>
    <row r="11174" spans="1:3" x14ac:dyDescent="0.25">
      <c r="A11174" t="str">
        <f>"0611838677100"</f>
        <v>0611838677100</v>
      </c>
      <c r="B11174" t="str">
        <f>"LK4613"</f>
        <v>LK4613</v>
      </c>
      <c r="C11174" t="s">
        <v>10955</v>
      </c>
    </row>
    <row r="11175" spans="1:3" x14ac:dyDescent="0.25">
      <c r="A11175" t="str">
        <f>"0611838678100"</f>
        <v>0611838678100</v>
      </c>
      <c r="B11175" t="str">
        <f>"LB7932"</f>
        <v>LB7932</v>
      </c>
      <c r="C11175" t="s">
        <v>10956</v>
      </c>
    </row>
    <row r="11176" spans="1:3" x14ac:dyDescent="0.25">
      <c r="A11176" t="str">
        <f>"0611838679100"</f>
        <v>0611838679100</v>
      </c>
      <c r="B11176" t="str">
        <f>"LB7912"</f>
        <v>LB7912</v>
      </c>
      <c r="C11176" t="s">
        <v>10957</v>
      </c>
    </row>
    <row r="11177" spans="1:3" x14ac:dyDescent="0.25">
      <c r="A11177" t="str">
        <f>"0611838680100"</f>
        <v>0611838680100</v>
      </c>
      <c r="B11177" t="str">
        <f>"LB7922"</f>
        <v>LB7922</v>
      </c>
      <c r="C11177" t="s">
        <v>10958</v>
      </c>
    </row>
    <row r="11178" spans="1:3" x14ac:dyDescent="0.25">
      <c r="A11178" t="str">
        <f>"0611838681025"</f>
        <v>0611838681025</v>
      </c>
      <c r="B11178" t="str">
        <f>"MC0636"</f>
        <v>MC0636</v>
      </c>
      <c r="C11178" t="s">
        <v>10959</v>
      </c>
    </row>
    <row r="11179" spans="1:3" x14ac:dyDescent="0.25">
      <c r="A11179" t="str">
        <f>"0611838682100"</f>
        <v>0611838682100</v>
      </c>
      <c r="B11179" t="str">
        <f>"LH6847"</f>
        <v>LH6847</v>
      </c>
      <c r="C11179" t="s">
        <v>10960</v>
      </c>
    </row>
    <row r="11180" spans="1:3" x14ac:dyDescent="0.25">
      <c r="A11180" t="str">
        <f>"0611834178100"</f>
        <v>0611834178100</v>
      </c>
      <c r="B11180" t="str">
        <f>"LF7026"</f>
        <v>LF7026</v>
      </c>
      <c r="C11180" t="s">
        <v>4598</v>
      </c>
    </row>
    <row r="11181" spans="1:3" x14ac:dyDescent="0.25">
      <c r="A11181" t="str">
        <f>"0611834180100"</f>
        <v>0611834180100</v>
      </c>
      <c r="B11181" t="str">
        <f>"MB7023"</f>
        <v>MB7023</v>
      </c>
      <c r="C11181" t="s">
        <v>4600</v>
      </c>
    </row>
    <row r="11182" spans="1:3" x14ac:dyDescent="0.25">
      <c r="A11182" t="str">
        <f>"0611834181100"</f>
        <v>0611834181100</v>
      </c>
      <c r="B11182" t="str">
        <f>"LF6190"</f>
        <v>LF6190</v>
      </c>
      <c r="C11182" t="s">
        <v>4601</v>
      </c>
    </row>
    <row r="11183" spans="1:3" x14ac:dyDescent="0.25">
      <c r="A11183" t="str">
        <f>"0611834179100"</f>
        <v>0611834179100</v>
      </c>
      <c r="B11183" t="str">
        <f>"LF7027"</f>
        <v>LF7027</v>
      </c>
      <c r="C11183" t="s">
        <v>4599</v>
      </c>
    </row>
    <row r="11184" spans="1:3" x14ac:dyDescent="0.25">
      <c r="A11184" t="str">
        <f>"0611906922100"</f>
        <v>0611906922100</v>
      </c>
      <c r="B11184" t="str">
        <f>"LF9118"</f>
        <v>LF9118</v>
      </c>
      <c r="C11184" t="s">
        <v>10962</v>
      </c>
    </row>
    <row r="11185" spans="1:3" x14ac:dyDescent="0.25">
      <c r="A11185" t="str">
        <f>"0611906923025"</f>
        <v>0611906923025</v>
      </c>
      <c r="B11185" t="str">
        <f>"MC4062"</f>
        <v>MC4062</v>
      </c>
      <c r="C11185" t="s">
        <v>10963</v>
      </c>
    </row>
    <row r="11186" spans="1:3" x14ac:dyDescent="0.25">
      <c r="A11186" t="str">
        <f>"0611884410100"</f>
        <v>0611884410100</v>
      </c>
      <c r="B11186" t="str">
        <f>"LG8051"</f>
        <v>LG8051</v>
      </c>
      <c r="C11186" t="s">
        <v>10964</v>
      </c>
    </row>
    <row r="11187" spans="1:3" x14ac:dyDescent="0.25">
      <c r="A11187" t="str">
        <f>"0611838695100"</f>
        <v>0611838695100</v>
      </c>
      <c r="B11187" t="str">
        <f>"LG8023"</f>
        <v>LG8023</v>
      </c>
      <c r="C11187" t="s">
        <v>10965</v>
      </c>
    </row>
    <row r="11188" spans="1:3" x14ac:dyDescent="0.25">
      <c r="A11188" t="str">
        <f>"0611857093100"</f>
        <v>0611857093100</v>
      </c>
      <c r="B11188" t="str">
        <f>"LG8050"</f>
        <v>LG8050</v>
      </c>
      <c r="C11188" t="s">
        <v>10966</v>
      </c>
    </row>
    <row r="11189" spans="1:3" x14ac:dyDescent="0.25">
      <c r="A11189" t="str">
        <f>"0611838696100"</f>
        <v>0611838696100</v>
      </c>
      <c r="B11189" t="str">
        <f>"LB7986"</f>
        <v>LB7986</v>
      </c>
      <c r="C11189" t="s">
        <v>10967</v>
      </c>
    </row>
    <row r="11190" spans="1:3" x14ac:dyDescent="0.25">
      <c r="A11190" t="str">
        <f>"0611838697100"</f>
        <v>0611838697100</v>
      </c>
      <c r="B11190" t="str">
        <f>"LB7987"</f>
        <v>LB7987</v>
      </c>
      <c r="C11190" t="s">
        <v>10968</v>
      </c>
    </row>
    <row r="11191" spans="1:3" x14ac:dyDescent="0.25">
      <c r="A11191" t="str">
        <f>"0611838698100"</f>
        <v>0611838698100</v>
      </c>
      <c r="B11191" t="str">
        <f>"LK0936"</f>
        <v>LK0936</v>
      </c>
      <c r="C11191" t="s">
        <v>10969</v>
      </c>
    </row>
    <row r="11192" spans="1:3" x14ac:dyDescent="0.25">
      <c r="A11192" t="str">
        <f>"0611838699100"</f>
        <v>0611838699100</v>
      </c>
      <c r="B11192" t="str">
        <f>"LB7982"</f>
        <v>LB7982</v>
      </c>
      <c r="C11192" t="s">
        <v>10970</v>
      </c>
    </row>
    <row r="11193" spans="1:3" x14ac:dyDescent="0.25">
      <c r="A11193" t="str">
        <f>"0611838700100"</f>
        <v>0611838700100</v>
      </c>
      <c r="B11193" t="str">
        <f>"LH6867"</f>
        <v>LH6867</v>
      </c>
      <c r="C11193" t="s">
        <v>10971</v>
      </c>
    </row>
    <row r="11194" spans="1:3" x14ac:dyDescent="0.25">
      <c r="A11194" t="str">
        <f>"0611838701100"</f>
        <v>0611838701100</v>
      </c>
      <c r="B11194" t="str">
        <f>"LB8005"</f>
        <v>LB8005</v>
      </c>
      <c r="C11194" t="s">
        <v>10972</v>
      </c>
    </row>
    <row r="11195" spans="1:3" x14ac:dyDescent="0.25">
      <c r="A11195" t="str">
        <f>"0611838702100"</f>
        <v>0611838702100</v>
      </c>
      <c r="B11195" t="str">
        <f>"LB8007"</f>
        <v>LB8007</v>
      </c>
      <c r="C11195" t="s">
        <v>10973</v>
      </c>
    </row>
    <row r="11196" spans="1:3" x14ac:dyDescent="0.25">
      <c r="A11196" t="str">
        <f>"0611838703100"</f>
        <v>0611838703100</v>
      </c>
      <c r="B11196" t="str">
        <f>"LG8015"</f>
        <v>LG8015</v>
      </c>
      <c r="C11196" t="s">
        <v>10974</v>
      </c>
    </row>
    <row r="11197" spans="1:3" x14ac:dyDescent="0.25">
      <c r="A11197" t="str">
        <f>"0611838704100"</f>
        <v>0611838704100</v>
      </c>
      <c r="B11197" t="str">
        <f>"LB7993"</f>
        <v>LB7993</v>
      </c>
      <c r="C11197" t="s">
        <v>10975</v>
      </c>
    </row>
    <row r="11198" spans="1:3" x14ac:dyDescent="0.25">
      <c r="A11198" t="str">
        <f>"0611884411100"</f>
        <v>0611884411100</v>
      </c>
      <c r="B11198" t="str">
        <f>"LG8052"</f>
        <v>LG8052</v>
      </c>
      <c r="C11198" t="s">
        <v>10976</v>
      </c>
    </row>
    <row r="11199" spans="1:3" x14ac:dyDescent="0.25">
      <c r="A11199" t="str">
        <f>"0611884412100"</f>
        <v>0611884412100</v>
      </c>
      <c r="B11199" t="str">
        <f>"LG8053"</f>
        <v>LG8053</v>
      </c>
      <c r="C11199" t="s">
        <v>10977</v>
      </c>
    </row>
    <row r="11200" spans="1:3" x14ac:dyDescent="0.25">
      <c r="A11200" t="str">
        <f>"0611838705100"</f>
        <v>0611838705100</v>
      </c>
      <c r="B11200" t="str">
        <f>"LK2383"</f>
        <v>LK2383</v>
      </c>
      <c r="C11200" t="s">
        <v>10978</v>
      </c>
    </row>
    <row r="11201" spans="1:3" x14ac:dyDescent="0.25">
      <c r="A11201" t="str">
        <f>"0611838706100"</f>
        <v>0611838706100</v>
      </c>
      <c r="B11201" t="str">
        <f>"LB8098"</f>
        <v>LB8098</v>
      </c>
      <c r="C11201" t="s">
        <v>10979</v>
      </c>
    </row>
    <row r="11202" spans="1:3" x14ac:dyDescent="0.25">
      <c r="A11202" t="str">
        <f>"0611838707100"</f>
        <v>0611838707100</v>
      </c>
      <c r="B11202" t="str">
        <f>"LF0039"</f>
        <v>LF0039</v>
      </c>
      <c r="C11202" t="s">
        <v>10980</v>
      </c>
    </row>
    <row r="11203" spans="1:3" x14ac:dyDescent="0.25">
      <c r="A11203" t="str">
        <f>"0611838708100"</f>
        <v>0611838708100</v>
      </c>
      <c r="B11203" t="str">
        <f>"LB8015"</f>
        <v>LB8015</v>
      </c>
      <c r="C11203" t="s">
        <v>10981</v>
      </c>
    </row>
    <row r="11204" spans="1:3" x14ac:dyDescent="0.25">
      <c r="A11204" t="str">
        <f>"0611838710100"</f>
        <v>0611838710100</v>
      </c>
      <c r="B11204" t="str">
        <f>"LG5500"</f>
        <v>LG5500</v>
      </c>
      <c r="C11204" t="s">
        <v>10982</v>
      </c>
    </row>
    <row r="11205" spans="1:3" x14ac:dyDescent="0.25">
      <c r="A11205" t="str">
        <f>"0611838711100"</f>
        <v>0611838711100</v>
      </c>
      <c r="B11205" t="str">
        <f>"LH0018"</f>
        <v>LH0018</v>
      </c>
      <c r="C11205" t="s">
        <v>10983</v>
      </c>
    </row>
    <row r="11206" spans="1:3" x14ac:dyDescent="0.25">
      <c r="A11206" t="str">
        <f>"0611838712100"</f>
        <v>0611838712100</v>
      </c>
      <c r="B11206" t="str">
        <f>"LK6769"</f>
        <v>LK6769</v>
      </c>
      <c r="C11206" t="s">
        <v>10984</v>
      </c>
    </row>
    <row r="11207" spans="1:3" x14ac:dyDescent="0.25">
      <c r="A11207" t="str">
        <f>"0611838713100"</f>
        <v>0611838713100</v>
      </c>
      <c r="B11207" t="str">
        <f>"LH6890"</f>
        <v>LH6890</v>
      </c>
      <c r="C11207" t="s">
        <v>10985</v>
      </c>
    </row>
    <row r="11208" spans="1:3" x14ac:dyDescent="0.25">
      <c r="A11208" t="str">
        <f>"0611838714100"</f>
        <v>0611838714100</v>
      </c>
      <c r="B11208" t="str">
        <f>"LK4524"</f>
        <v>LK4524</v>
      </c>
      <c r="C11208" t="s">
        <v>10986</v>
      </c>
    </row>
    <row r="11209" spans="1:3" x14ac:dyDescent="0.25">
      <c r="A11209" t="str">
        <f>"0611838716100"</f>
        <v>0611838716100</v>
      </c>
      <c r="B11209" t="str">
        <f>"LK1751"</f>
        <v>LK1751</v>
      </c>
      <c r="C11209" t="s">
        <v>10987</v>
      </c>
    </row>
    <row r="11210" spans="1:3" x14ac:dyDescent="0.25">
      <c r="A11210" t="str">
        <f>"0611838718100"</f>
        <v>0611838718100</v>
      </c>
      <c r="B11210" t="str">
        <f>"LK2997"</f>
        <v>LK2997</v>
      </c>
      <c r="C11210" t="s">
        <v>10988</v>
      </c>
    </row>
    <row r="11211" spans="1:3" x14ac:dyDescent="0.25">
      <c r="A11211" t="str">
        <f>"0611838719100"</f>
        <v>0611838719100</v>
      </c>
      <c r="B11211" t="str">
        <f>"LB9900"</f>
        <v>LB9900</v>
      </c>
      <c r="C11211" t="s">
        <v>10989</v>
      </c>
    </row>
    <row r="11212" spans="1:3" x14ac:dyDescent="0.25">
      <c r="A11212" t="str">
        <f>"0611884413100"</f>
        <v>0611884413100</v>
      </c>
      <c r="B11212" t="str">
        <f>"LG8054"</f>
        <v>LG8054</v>
      </c>
      <c r="C11212" t="s">
        <v>10990</v>
      </c>
    </row>
    <row r="11213" spans="1:3" x14ac:dyDescent="0.25">
      <c r="A11213" t="str">
        <f>"0611838720100"</f>
        <v>0611838720100</v>
      </c>
      <c r="B11213" t="str">
        <f>"LH6928"</f>
        <v>LH6928</v>
      </c>
      <c r="C11213" t="s">
        <v>10991</v>
      </c>
    </row>
    <row r="11214" spans="1:3" x14ac:dyDescent="0.25">
      <c r="A11214" t="str">
        <f>"0611838721100"</f>
        <v>0611838721100</v>
      </c>
      <c r="B11214" t="str">
        <f>"LH8924"</f>
        <v>LH8924</v>
      </c>
      <c r="C11214" t="s">
        <v>10992</v>
      </c>
    </row>
    <row r="11215" spans="1:3" x14ac:dyDescent="0.25">
      <c r="A11215" t="str">
        <f>"0611906924025"</f>
        <v>0611906924025</v>
      </c>
      <c r="B11215" t="str">
        <f>"MC4528"</f>
        <v>MC4528</v>
      </c>
      <c r="C11215" t="s">
        <v>10993</v>
      </c>
    </row>
    <row r="11216" spans="1:3" x14ac:dyDescent="0.25">
      <c r="A11216" t="str">
        <f>"0611838724100"</f>
        <v>0611838724100</v>
      </c>
      <c r="B11216" t="str">
        <f>"LK3766"</f>
        <v>LK3766</v>
      </c>
      <c r="C11216" t="s">
        <v>10994</v>
      </c>
    </row>
    <row r="11217" spans="1:3" x14ac:dyDescent="0.25">
      <c r="A11217" t="str">
        <f>"0611857094100"</f>
        <v>0611857094100</v>
      </c>
      <c r="B11217" t="str">
        <f>"LK7102"</f>
        <v>LK7102</v>
      </c>
      <c r="C11217" t="s">
        <v>10995</v>
      </c>
    </row>
    <row r="11218" spans="1:3" x14ac:dyDescent="0.25">
      <c r="A11218" t="str">
        <f>"0611838726025"</f>
        <v>0611838726025</v>
      </c>
      <c r="B11218" t="str">
        <f>"MC0649"</f>
        <v>MC0649</v>
      </c>
      <c r="C11218" t="s">
        <v>10996</v>
      </c>
    </row>
    <row r="11219" spans="1:3" x14ac:dyDescent="0.25">
      <c r="A11219" t="str">
        <f>"0611857095025"</f>
        <v>0611857095025</v>
      </c>
      <c r="B11219" t="str">
        <f>"MQ0804"</f>
        <v>MQ0804</v>
      </c>
      <c r="C11219" t="s">
        <v>10997</v>
      </c>
    </row>
    <row r="11220" spans="1:3" x14ac:dyDescent="0.25">
      <c r="A11220" t="str">
        <f>"0611838728025"</f>
        <v>0611838728025</v>
      </c>
      <c r="B11220" t="str">
        <f>"MQ0349"</f>
        <v>MQ0349</v>
      </c>
      <c r="C11220" t="s">
        <v>10998</v>
      </c>
    </row>
    <row r="11221" spans="1:3" x14ac:dyDescent="0.25">
      <c r="A11221" t="str">
        <f>"0611838729025"</f>
        <v>0611838729025</v>
      </c>
      <c r="B11221" t="str">
        <f>"MC3793"</f>
        <v>MC3793</v>
      </c>
      <c r="C11221" t="s">
        <v>10999</v>
      </c>
    </row>
    <row r="11222" spans="1:3" x14ac:dyDescent="0.25">
      <c r="A11222" t="str">
        <f>"0611833566100"</f>
        <v>0611833566100</v>
      </c>
      <c r="B11222" t="str">
        <f>"LL3662"</f>
        <v>LL3662</v>
      </c>
      <c r="C11222" t="s">
        <v>11000</v>
      </c>
    </row>
    <row r="11223" spans="1:3" x14ac:dyDescent="0.25">
      <c r="A11223" t="str">
        <f>"0611833568100"</f>
        <v>0611833568100</v>
      </c>
      <c r="B11223" t="str">
        <f>"LL3683"</f>
        <v>LL3683</v>
      </c>
      <c r="C11223" t="s">
        <v>11001</v>
      </c>
    </row>
    <row r="11224" spans="1:3" x14ac:dyDescent="0.25">
      <c r="A11224" t="str">
        <f>"0611833569100"</f>
        <v>0611833569100</v>
      </c>
      <c r="B11224" t="str">
        <f>"LL3651"</f>
        <v>LL3651</v>
      </c>
      <c r="C11224" t="s">
        <v>11002</v>
      </c>
    </row>
    <row r="11225" spans="1:3" x14ac:dyDescent="0.25">
      <c r="A11225" t="str">
        <f>"0611833572100"</f>
        <v>0611833572100</v>
      </c>
      <c r="B11225" t="str">
        <f>"LL3665"</f>
        <v>LL3665</v>
      </c>
      <c r="C11225" t="s">
        <v>11003</v>
      </c>
    </row>
    <row r="11226" spans="1:3" x14ac:dyDescent="0.25">
      <c r="A11226" t="str">
        <f>"0611833573100"</f>
        <v>0611833573100</v>
      </c>
      <c r="B11226" t="str">
        <f>"LL0188"</f>
        <v>LL0188</v>
      </c>
      <c r="C11226" t="s">
        <v>11004</v>
      </c>
    </row>
    <row r="11227" spans="1:3" x14ac:dyDescent="0.25">
      <c r="A11227" t="str">
        <f>"0611833574100"</f>
        <v>0611833574100</v>
      </c>
      <c r="B11227" t="str">
        <f>"LL8144"</f>
        <v>LL8144</v>
      </c>
      <c r="C11227" t="s">
        <v>11005</v>
      </c>
    </row>
    <row r="11228" spans="1:3" x14ac:dyDescent="0.25">
      <c r="A11228" t="str">
        <f>"0611833580100"</f>
        <v>0611833580100</v>
      </c>
      <c r="B11228" t="str">
        <f>"LL8084"</f>
        <v>LL8084</v>
      </c>
      <c r="C11228" t="s">
        <v>11006</v>
      </c>
    </row>
    <row r="11229" spans="1:3" x14ac:dyDescent="0.25">
      <c r="A11229" t="str">
        <f>"0611833594100"</f>
        <v>0611833594100</v>
      </c>
      <c r="B11229" t="str">
        <f>"LL3650"</f>
        <v>LL3650</v>
      </c>
      <c r="C11229" t="s">
        <v>11007</v>
      </c>
    </row>
    <row r="11230" spans="1:3" x14ac:dyDescent="0.25">
      <c r="A11230" t="str">
        <f>"0611833583100"</f>
        <v>0611833583100</v>
      </c>
      <c r="B11230" t="str">
        <f>"LL4869"</f>
        <v>LL4869</v>
      </c>
      <c r="C11230" t="s">
        <v>11008</v>
      </c>
    </row>
    <row r="11231" spans="1:3" x14ac:dyDescent="0.25">
      <c r="A11231" t="str">
        <f>"0611833584100"</f>
        <v>0611833584100</v>
      </c>
      <c r="B11231" t="str">
        <f>"LL3666"</f>
        <v>LL3666</v>
      </c>
      <c r="C11231" t="s">
        <v>11009</v>
      </c>
    </row>
    <row r="11232" spans="1:3" x14ac:dyDescent="0.25">
      <c r="A11232" t="str">
        <f>"0611833586100"</f>
        <v>0611833586100</v>
      </c>
      <c r="B11232" t="str">
        <f>"LL3667"</f>
        <v>LL3667</v>
      </c>
      <c r="C11232" t="s">
        <v>11010</v>
      </c>
    </row>
    <row r="11233" spans="1:3" x14ac:dyDescent="0.25">
      <c r="A11233" t="str">
        <f>"0611833587100"</f>
        <v>0611833587100</v>
      </c>
      <c r="B11233" t="str">
        <f>"LL3668"</f>
        <v>LL3668</v>
      </c>
      <c r="C11233" t="s">
        <v>11011</v>
      </c>
    </row>
    <row r="11234" spans="1:3" x14ac:dyDescent="0.25">
      <c r="A11234" t="str">
        <f>"0611833588100"</f>
        <v>0611833588100</v>
      </c>
      <c r="B11234" t="str">
        <f>"LL8320"</f>
        <v>LL8320</v>
      </c>
      <c r="C11234" t="s">
        <v>11012</v>
      </c>
    </row>
    <row r="11235" spans="1:3" x14ac:dyDescent="0.25">
      <c r="A11235" t="str">
        <f>"0611833589100"</f>
        <v>0611833589100</v>
      </c>
      <c r="B11235" t="str">
        <f>"LL0133"</f>
        <v>LL0133</v>
      </c>
      <c r="C11235" t="s">
        <v>11013</v>
      </c>
    </row>
    <row r="11236" spans="1:3" x14ac:dyDescent="0.25">
      <c r="A11236" t="str">
        <f>"0611833590100"</f>
        <v>0611833590100</v>
      </c>
      <c r="B11236" t="str">
        <f>"LL3676"</f>
        <v>LL3676</v>
      </c>
      <c r="C11236" t="s">
        <v>11014</v>
      </c>
    </row>
    <row r="11237" spans="1:3" x14ac:dyDescent="0.25">
      <c r="A11237" t="str">
        <f>"0611833592100"</f>
        <v>0611833592100</v>
      </c>
      <c r="B11237" t="str">
        <f>"LL3682"</f>
        <v>LL3682</v>
      </c>
      <c r="C11237" t="s">
        <v>11015</v>
      </c>
    </row>
    <row r="11238" spans="1:3" x14ac:dyDescent="0.25">
      <c r="A11238" t="str">
        <f>"0611833593100"</f>
        <v>0611833593100</v>
      </c>
      <c r="B11238" t="str">
        <f>"LL3654"</f>
        <v>LL3654</v>
      </c>
      <c r="C11238" t="s">
        <v>11016</v>
      </c>
    </row>
    <row r="11239" spans="1:3" x14ac:dyDescent="0.25">
      <c r="A11239" t="str">
        <f>"0611833597100"</f>
        <v>0611833597100</v>
      </c>
      <c r="B11239" t="str">
        <f>"LL3655"</f>
        <v>LL3655</v>
      </c>
      <c r="C11239" t="s">
        <v>11017</v>
      </c>
    </row>
    <row r="11240" spans="1:3" x14ac:dyDescent="0.25">
      <c r="A11240" t="str">
        <f>"0611833600100"</f>
        <v>0611833600100</v>
      </c>
      <c r="B11240" t="str">
        <f>"LL8296"</f>
        <v>LL8296</v>
      </c>
      <c r="C11240" t="s">
        <v>11018</v>
      </c>
    </row>
    <row r="11241" spans="1:3" x14ac:dyDescent="0.25">
      <c r="A11241" t="str">
        <f>"0611833602100"</f>
        <v>0611833602100</v>
      </c>
      <c r="B11241" t="str">
        <f>"LL8231"</f>
        <v>LL8231</v>
      </c>
      <c r="C11241" t="s">
        <v>11019</v>
      </c>
    </row>
    <row r="11242" spans="1:3" x14ac:dyDescent="0.25">
      <c r="A11242" t="str">
        <f>"0611833603100"</f>
        <v>0611833603100</v>
      </c>
      <c r="B11242" t="str">
        <f>"LL3664"</f>
        <v>LL3664</v>
      </c>
      <c r="C11242" t="s">
        <v>11020</v>
      </c>
    </row>
    <row r="11243" spans="1:3" x14ac:dyDescent="0.25">
      <c r="A11243" t="str">
        <f>"0611833604100"</f>
        <v>0611833604100</v>
      </c>
      <c r="B11243" t="str">
        <f>"LL3671"</f>
        <v>LL3671</v>
      </c>
      <c r="C11243" t="s">
        <v>11021</v>
      </c>
    </row>
    <row r="11244" spans="1:3" x14ac:dyDescent="0.25">
      <c r="A11244" t="str">
        <f>"0611838730100"</f>
        <v>0611838730100</v>
      </c>
      <c r="B11244" t="str">
        <f>"LF6500"</f>
        <v>LF6500</v>
      </c>
      <c r="C11244" t="s">
        <v>11022</v>
      </c>
    </row>
    <row r="11245" spans="1:3" x14ac:dyDescent="0.25">
      <c r="A11245" t="str">
        <f>"0611838753100"</f>
        <v>0611838753100</v>
      </c>
      <c r="B11245" t="str">
        <f>"LL8232"</f>
        <v>LL8232</v>
      </c>
      <c r="C11245" t="s">
        <v>11042</v>
      </c>
    </row>
    <row r="11246" spans="1:3" x14ac:dyDescent="0.25">
      <c r="A11246" t="str">
        <f>"0611838754100"</f>
        <v>0611838754100</v>
      </c>
      <c r="B11246" t="str">
        <f>"LL0094"</f>
        <v>LL0094</v>
      </c>
      <c r="C11246" t="s">
        <v>11043</v>
      </c>
    </row>
    <row r="11247" spans="1:3" x14ac:dyDescent="0.25">
      <c r="A11247" t="str">
        <f>"0611838731100"</f>
        <v>0611838731100</v>
      </c>
      <c r="B11247" t="str">
        <f>"LL0122"</f>
        <v>LL0122</v>
      </c>
      <c r="C11247" t="s">
        <v>11023</v>
      </c>
    </row>
    <row r="11248" spans="1:3" x14ac:dyDescent="0.25">
      <c r="A11248" t="str">
        <f>"0611838733100"</f>
        <v>0611838733100</v>
      </c>
      <c r="B11248" t="str">
        <f>"LS0115"</f>
        <v>LS0115</v>
      </c>
      <c r="C11248" t="s">
        <v>11026</v>
      </c>
    </row>
    <row r="11249" spans="1:3" x14ac:dyDescent="0.25">
      <c r="A11249" t="str">
        <f>"0611838732100"</f>
        <v>0611838732100</v>
      </c>
      <c r="B11249" t="str">
        <f>"LB9920"</f>
        <v>LB9920</v>
      </c>
      <c r="C11249" t="s">
        <v>11024</v>
      </c>
    </row>
    <row r="11250" spans="1:3" x14ac:dyDescent="0.25">
      <c r="A11250" t="str">
        <f>"0611838751100"</f>
        <v>0611838751100</v>
      </c>
      <c r="B11250" t="str">
        <f>"LG5415"</f>
        <v>LG5415</v>
      </c>
      <c r="C11250" t="s">
        <v>11025</v>
      </c>
    </row>
    <row r="11251" spans="1:3" x14ac:dyDescent="0.25">
      <c r="A11251" t="str">
        <f>"0611838734100"</f>
        <v>0611838734100</v>
      </c>
      <c r="B11251" t="str">
        <f>"LK4525"</f>
        <v>LK4525</v>
      </c>
      <c r="C11251" t="s">
        <v>11027</v>
      </c>
    </row>
    <row r="11252" spans="1:3" x14ac:dyDescent="0.25">
      <c r="A11252" t="str">
        <f>"0611857096100"</f>
        <v>0611857096100</v>
      </c>
      <c r="B11252" t="str">
        <f>"LK7103"</f>
        <v>LK7103</v>
      </c>
      <c r="C11252" t="s">
        <v>11028</v>
      </c>
    </row>
    <row r="11253" spans="1:3" x14ac:dyDescent="0.25">
      <c r="A11253" t="str">
        <f>"0611838735100"</f>
        <v>0611838735100</v>
      </c>
      <c r="B11253" t="str">
        <f>"LK6661"</f>
        <v>LK6661</v>
      </c>
      <c r="C11253" t="s">
        <v>11029</v>
      </c>
    </row>
    <row r="11254" spans="1:3" x14ac:dyDescent="0.25">
      <c r="A11254" t="str">
        <f>"0611838736100"</f>
        <v>0611838736100</v>
      </c>
      <c r="B11254" t="str">
        <f>"LK6877"</f>
        <v>LK6877</v>
      </c>
      <c r="C11254" t="s">
        <v>11030</v>
      </c>
    </row>
    <row r="11255" spans="1:3" x14ac:dyDescent="0.25">
      <c r="A11255" t="str">
        <f>"0611838737100"</f>
        <v>0611838737100</v>
      </c>
      <c r="B11255" t="str">
        <f>"LK5919"</f>
        <v>LK5919</v>
      </c>
      <c r="C11255" t="s">
        <v>11031</v>
      </c>
    </row>
    <row r="11256" spans="1:3" x14ac:dyDescent="0.25">
      <c r="A11256" t="str">
        <f>"0611838738100"</f>
        <v>0611838738100</v>
      </c>
      <c r="B11256" t="str">
        <f>"LK5920"</f>
        <v>LK5920</v>
      </c>
      <c r="C11256" t="s">
        <v>11032</v>
      </c>
    </row>
    <row r="11257" spans="1:3" x14ac:dyDescent="0.25">
      <c r="A11257" t="str">
        <f>"0611838739100"</f>
        <v>0611838739100</v>
      </c>
      <c r="B11257" t="str">
        <f>"LK6279"</f>
        <v>LK6279</v>
      </c>
      <c r="C11257" t="s">
        <v>11033</v>
      </c>
    </row>
    <row r="11258" spans="1:3" x14ac:dyDescent="0.25">
      <c r="A11258" t="str">
        <f>"0611838741100"</f>
        <v>0611838741100</v>
      </c>
      <c r="B11258" t="str">
        <f>"LK4026"</f>
        <v>LK4026</v>
      </c>
      <c r="C11258" t="s">
        <v>11034</v>
      </c>
    </row>
    <row r="11259" spans="1:3" x14ac:dyDescent="0.25">
      <c r="A11259" t="str">
        <f>"0611838743100"</f>
        <v>0611838743100</v>
      </c>
      <c r="B11259" t="str">
        <f>"LK2384"</f>
        <v>LK2384</v>
      </c>
      <c r="C11259" t="s">
        <v>11035</v>
      </c>
    </row>
    <row r="11260" spans="1:3" x14ac:dyDescent="0.25">
      <c r="A11260" t="str">
        <f>"0611838745100"</f>
        <v>0611838745100</v>
      </c>
      <c r="B11260" t="str">
        <f>"LK4526"</f>
        <v>LK4526</v>
      </c>
      <c r="C11260" t="s">
        <v>11036</v>
      </c>
    </row>
    <row r="11261" spans="1:3" x14ac:dyDescent="0.25">
      <c r="A11261" t="str">
        <f>"0611838746100"</f>
        <v>0611838746100</v>
      </c>
      <c r="B11261" t="str">
        <f>"LK5922"</f>
        <v>LK5922</v>
      </c>
      <c r="C11261" t="s">
        <v>11037</v>
      </c>
    </row>
    <row r="11262" spans="1:3" x14ac:dyDescent="0.25">
      <c r="A11262" t="str">
        <f>"0611838748100"</f>
        <v>0611838748100</v>
      </c>
      <c r="B11262" t="str">
        <f>"LK7034"</f>
        <v>LK7034</v>
      </c>
      <c r="C11262" t="s">
        <v>11038</v>
      </c>
    </row>
    <row r="11263" spans="1:3" x14ac:dyDescent="0.25">
      <c r="A11263" t="str">
        <f>"0611838749100"</f>
        <v>0611838749100</v>
      </c>
      <c r="B11263" t="str">
        <f>"LK3002"</f>
        <v>LK3002</v>
      </c>
      <c r="C11263" t="s">
        <v>11039</v>
      </c>
    </row>
    <row r="11264" spans="1:3" x14ac:dyDescent="0.25">
      <c r="A11264" t="str">
        <f>"0611838750100"</f>
        <v>0611838750100</v>
      </c>
      <c r="B11264" t="str">
        <f>"LK6813"</f>
        <v>LK6813</v>
      </c>
      <c r="C11264" t="s">
        <v>11040</v>
      </c>
    </row>
    <row r="11265" spans="1:3" x14ac:dyDescent="0.25">
      <c r="A11265" t="str">
        <f>"0611838752100"</f>
        <v>0611838752100</v>
      </c>
      <c r="B11265" t="str">
        <f>"LK5923"</f>
        <v>LK5923</v>
      </c>
      <c r="C11265" t="s">
        <v>11041</v>
      </c>
    </row>
    <row r="11266" spans="1:3" x14ac:dyDescent="0.25">
      <c r="A11266" t="str">
        <f>"0611838755025"</f>
        <v>0611838755025</v>
      </c>
      <c r="B11266" t="str">
        <f>"MC3896"</f>
        <v>MC3896</v>
      </c>
      <c r="C11266" t="s">
        <v>11044</v>
      </c>
    </row>
    <row r="11267" spans="1:3" x14ac:dyDescent="0.25">
      <c r="A11267" t="str">
        <f>"0611838756100"</f>
        <v>0611838756100</v>
      </c>
      <c r="B11267" t="str">
        <f>"LF6520"</f>
        <v>LF6520</v>
      </c>
      <c r="C11267" t="s">
        <v>11045</v>
      </c>
    </row>
    <row r="11268" spans="1:3" x14ac:dyDescent="0.25">
      <c r="A11268" t="str">
        <f>"0611838762100"</f>
        <v>0611838762100</v>
      </c>
      <c r="B11268" t="str">
        <f>"LK1753"</f>
        <v>LK1753</v>
      </c>
      <c r="C11268" t="s">
        <v>11046</v>
      </c>
    </row>
    <row r="11269" spans="1:3" x14ac:dyDescent="0.25">
      <c r="A11269" t="str">
        <f>"0611838763100"</f>
        <v>0611838763100</v>
      </c>
      <c r="B11269" t="str">
        <f>"LG0675"</f>
        <v>LG0675</v>
      </c>
      <c r="C11269" t="s">
        <v>11047</v>
      </c>
    </row>
    <row r="11270" spans="1:3" x14ac:dyDescent="0.25">
      <c r="A11270" t="str">
        <f>"0611838758100"</f>
        <v>0611838758100</v>
      </c>
      <c r="B11270" t="str">
        <f>"LL8146"</f>
        <v>LL8146</v>
      </c>
      <c r="C11270" t="s">
        <v>11048</v>
      </c>
    </row>
    <row r="11271" spans="1:3" x14ac:dyDescent="0.25">
      <c r="A11271" t="str">
        <f>"0611838759025"</f>
        <v>0611838759025</v>
      </c>
      <c r="B11271" t="str">
        <f>"MC3880"</f>
        <v>MC3880</v>
      </c>
      <c r="C11271" t="s">
        <v>11049</v>
      </c>
    </row>
    <row r="11272" spans="1:3" x14ac:dyDescent="0.25">
      <c r="A11272" t="str">
        <f>"0611838761025"</f>
        <v>0611838761025</v>
      </c>
      <c r="B11272" t="str">
        <f>"MC0948"</f>
        <v>MC0948</v>
      </c>
      <c r="C11272" t="s">
        <v>11050</v>
      </c>
    </row>
    <row r="11273" spans="1:3" x14ac:dyDescent="0.25">
      <c r="A11273" t="str">
        <f>"0611838765100"</f>
        <v>0611838765100</v>
      </c>
      <c r="B11273" t="str">
        <f>"LB1620"</f>
        <v>LB1620</v>
      </c>
      <c r="C11273" t="s">
        <v>11051</v>
      </c>
    </row>
    <row r="11274" spans="1:3" x14ac:dyDescent="0.25">
      <c r="A11274" t="str">
        <f>"0611835128100"</f>
        <v>0611835128100</v>
      </c>
      <c r="B11274" t="str">
        <f>"LC8754"</f>
        <v>LC8754</v>
      </c>
      <c r="C11274" t="s">
        <v>11052</v>
      </c>
    </row>
    <row r="11275" spans="1:3" x14ac:dyDescent="0.25">
      <c r="A11275" t="str">
        <f>"0611835129025"</f>
        <v>0611835129025</v>
      </c>
      <c r="B11275" t="str">
        <f>"MC1751"</f>
        <v>MC1751</v>
      </c>
      <c r="C11275" t="s">
        <v>11053</v>
      </c>
    </row>
    <row r="11276" spans="1:3" x14ac:dyDescent="0.25">
      <c r="A11276" t="str">
        <f>"0611862553100"</f>
        <v>0611862553100</v>
      </c>
      <c r="B11276" t="str">
        <f>"CN5348"</f>
        <v>CN5348</v>
      </c>
      <c r="C11276" t="s">
        <v>11054</v>
      </c>
    </row>
    <row r="11277" spans="1:3" x14ac:dyDescent="0.25">
      <c r="A11277" t="str">
        <f>"0611862554050"</f>
        <v>0611862554050</v>
      </c>
      <c r="B11277" t="str">
        <f>"CR4439"</f>
        <v>CR4439</v>
      </c>
      <c r="C11277" t="s">
        <v>13940</v>
      </c>
    </row>
    <row r="11278" spans="1:3" x14ac:dyDescent="0.25">
      <c r="A11278" t="str">
        <f>"0611835130100"</f>
        <v>0611835130100</v>
      </c>
      <c r="B11278" t="str">
        <f>"LC8766"</f>
        <v>LC8766</v>
      </c>
      <c r="C11278" t="s">
        <v>11055</v>
      </c>
    </row>
    <row r="11279" spans="1:3" x14ac:dyDescent="0.25">
      <c r="A11279" t="str">
        <f>"0611835131025"</f>
        <v>0611835131025</v>
      </c>
      <c r="B11279" t="str">
        <f>"MC1752"</f>
        <v>MC1752</v>
      </c>
      <c r="C11279" t="s">
        <v>11056</v>
      </c>
    </row>
    <row r="11280" spans="1:3" x14ac:dyDescent="0.25">
      <c r="A11280" t="str">
        <f>"0611835132100"</f>
        <v>0611835132100</v>
      </c>
      <c r="B11280" t="str">
        <f>"LC3400"</f>
        <v>LC3400</v>
      </c>
      <c r="C11280" t="s">
        <v>11057</v>
      </c>
    </row>
    <row r="11281" spans="1:3" x14ac:dyDescent="0.25">
      <c r="A11281" t="str">
        <f>"0611835133100"</f>
        <v>0611835133100</v>
      </c>
      <c r="B11281" t="str">
        <f>"LC8751"</f>
        <v>LC8751</v>
      </c>
      <c r="C11281" t="s">
        <v>11058</v>
      </c>
    </row>
    <row r="11282" spans="1:3" x14ac:dyDescent="0.25">
      <c r="A11282" t="str">
        <f>"0611835137100"</f>
        <v>0611835137100</v>
      </c>
      <c r="B11282" t="str">
        <f>"LC8750"</f>
        <v>LC8750</v>
      </c>
      <c r="C11282" t="s">
        <v>11061</v>
      </c>
    </row>
    <row r="11283" spans="1:3" x14ac:dyDescent="0.25">
      <c r="A11283" t="str">
        <f>"0611835138200"</f>
        <v>0611835138200</v>
      </c>
      <c r="B11283" t="str">
        <f>"KP8750"</f>
        <v>KP8750</v>
      </c>
      <c r="C11283" t="s">
        <v>11062</v>
      </c>
    </row>
    <row r="11284" spans="1:3" x14ac:dyDescent="0.25">
      <c r="A11284" t="str">
        <f>"0611835139025"</f>
        <v>0611835139025</v>
      </c>
      <c r="B11284" t="str">
        <f>"MC0811"</f>
        <v>MC0811</v>
      </c>
      <c r="C11284" t="s">
        <v>11063</v>
      </c>
    </row>
    <row r="11285" spans="1:3" x14ac:dyDescent="0.25">
      <c r="A11285" t="str">
        <f>"0611835134100"</f>
        <v>0611835134100</v>
      </c>
      <c r="B11285" t="str">
        <f>"LC8756"</f>
        <v>LC8756</v>
      </c>
      <c r="C11285" t="s">
        <v>11064</v>
      </c>
    </row>
    <row r="11286" spans="1:3" x14ac:dyDescent="0.25">
      <c r="A11286" t="str">
        <f>"0611835135025"</f>
        <v>0611835135025</v>
      </c>
      <c r="B11286" t="str">
        <f>"MC4343"</f>
        <v>MC4343</v>
      </c>
      <c r="C11286" t="s">
        <v>11065</v>
      </c>
    </row>
    <row r="11287" spans="1:3" x14ac:dyDescent="0.25">
      <c r="A11287" t="str">
        <f>"0611862555100"</f>
        <v>0611862555100</v>
      </c>
      <c r="B11287" t="str">
        <f>"CN5349"</f>
        <v>CN5349</v>
      </c>
      <c r="C11287" t="s">
        <v>11066</v>
      </c>
    </row>
    <row r="11288" spans="1:3" x14ac:dyDescent="0.25">
      <c r="A11288" t="str">
        <f>"0611835136100"</f>
        <v>0611835136100</v>
      </c>
      <c r="B11288" t="str">
        <f>"LC8757"</f>
        <v>LC8757</v>
      </c>
      <c r="C11288" t="s">
        <v>11067</v>
      </c>
    </row>
    <row r="11289" spans="1:3" x14ac:dyDescent="0.25">
      <c r="A11289" t="str">
        <f>"0611835140025"</f>
        <v>0611835140025</v>
      </c>
      <c r="B11289" t="str">
        <f>"MC1753"</f>
        <v>MC1753</v>
      </c>
      <c r="C11289" t="s">
        <v>11068</v>
      </c>
    </row>
    <row r="11290" spans="1:3" x14ac:dyDescent="0.25">
      <c r="A11290" t="str">
        <f>"0611835141025"</f>
        <v>0611835141025</v>
      </c>
      <c r="B11290" t="str">
        <f>"MQ0142"</f>
        <v>MQ0142</v>
      </c>
      <c r="C11290" t="s">
        <v>11069</v>
      </c>
    </row>
    <row r="11291" spans="1:3" x14ac:dyDescent="0.25">
      <c r="A11291" t="str">
        <f>"0611835142100"</f>
        <v>0611835142100</v>
      </c>
      <c r="B11291" t="str">
        <f>"LC3401"</f>
        <v>LC3401</v>
      </c>
      <c r="C11291" t="s">
        <v>11070</v>
      </c>
    </row>
    <row r="11292" spans="1:3" x14ac:dyDescent="0.25">
      <c r="A11292" t="str">
        <f>"0611862557100"</f>
        <v>0611862557100</v>
      </c>
      <c r="B11292" t="str">
        <f>"CN5350"</f>
        <v>CN5350</v>
      </c>
      <c r="C11292" t="s">
        <v>11071</v>
      </c>
    </row>
    <row r="11293" spans="1:3" x14ac:dyDescent="0.25">
      <c r="A11293" t="str">
        <f>"0611835143100"</f>
        <v>0611835143100</v>
      </c>
      <c r="B11293" t="str">
        <f>"LC8753"</f>
        <v>LC8753</v>
      </c>
      <c r="C11293" t="s">
        <v>11059</v>
      </c>
    </row>
    <row r="11294" spans="1:3" x14ac:dyDescent="0.25">
      <c r="A11294" t="str">
        <f>"0611835144025"</f>
        <v>0611835144025</v>
      </c>
      <c r="B11294" t="str">
        <f>"MC2130"</f>
        <v>MC2130</v>
      </c>
      <c r="C11294" t="s">
        <v>11060</v>
      </c>
    </row>
    <row r="11295" spans="1:3" x14ac:dyDescent="0.25">
      <c r="A11295" t="str">
        <f>"0611835145100"</f>
        <v>0611835145100</v>
      </c>
      <c r="B11295" t="str">
        <f>"LC8760"</f>
        <v>LC8760</v>
      </c>
      <c r="C11295" t="s">
        <v>11072</v>
      </c>
    </row>
    <row r="11296" spans="1:3" x14ac:dyDescent="0.25">
      <c r="A11296" t="str">
        <f>"0611835146025"</f>
        <v>0611835146025</v>
      </c>
      <c r="B11296" t="str">
        <f>"MQ0143"</f>
        <v>MQ0143</v>
      </c>
      <c r="C11296" t="s">
        <v>11073</v>
      </c>
    </row>
    <row r="11297" spans="1:3" x14ac:dyDescent="0.25">
      <c r="A11297" t="str">
        <f>"0611835147025"</f>
        <v>0611835147025</v>
      </c>
      <c r="B11297" t="str">
        <f>"MC3279"</f>
        <v>MC3279</v>
      </c>
      <c r="C11297" t="s">
        <v>11074</v>
      </c>
    </row>
    <row r="11298" spans="1:3" x14ac:dyDescent="0.25">
      <c r="A11298" t="str">
        <f>"0611893661100"</f>
        <v>0611893661100</v>
      </c>
      <c r="B11298" t="str">
        <f>"CN5461"</f>
        <v>CN5461</v>
      </c>
      <c r="C11298" t="s">
        <v>11075</v>
      </c>
    </row>
    <row r="11299" spans="1:3" x14ac:dyDescent="0.25">
      <c r="A11299" t="str">
        <f>"0611835148100"</f>
        <v>0611835148100</v>
      </c>
      <c r="B11299" t="str">
        <f>"LC8761"</f>
        <v>LC8761</v>
      </c>
      <c r="C11299" t="s">
        <v>11077</v>
      </c>
    </row>
    <row r="11300" spans="1:3" x14ac:dyDescent="0.25">
      <c r="A11300" t="str">
        <f>"0611835149025"</f>
        <v>0611835149025</v>
      </c>
      <c r="B11300" t="str">
        <f>"MQ0144"</f>
        <v>MQ0144</v>
      </c>
      <c r="C11300" t="s">
        <v>11078</v>
      </c>
    </row>
    <row r="11301" spans="1:3" x14ac:dyDescent="0.25">
      <c r="A11301" t="str">
        <f>"0611862558100"</f>
        <v>0611862558100</v>
      </c>
      <c r="B11301" t="str">
        <f>"CN5351"</f>
        <v>CN5351</v>
      </c>
      <c r="C11301" t="s">
        <v>11076</v>
      </c>
    </row>
    <row r="11302" spans="1:3" x14ac:dyDescent="0.25">
      <c r="A11302" t="str">
        <f>"0611835150100"</f>
        <v>0611835150100</v>
      </c>
      <c r="B11302" t="str">
        <f>"LC8763"</f>
        <v>LC8763</v>
      </c>
      <c r="C11302" t="s">
        <v>11079</v>
      </c>
    </row>
    <row r="11303" spans="1:3" x14ac:dyDescent="0.25">
      <c r="A11303" t="str">
        <f>"0611835151025"</f>
        <v>0611835151025</v>
      </c>
      <c r="B11303" t="str">
        <f>"MC2228"</f>
        <v>MC2228</v>
      </c>
      <c r="C11303" t="s">
        <v>11080</v>
      </c>
    </row>
    <row r="11304" spans="1:3" x14ac:dyDescent="0.25">
      <c r="A11304" t="str">
        <f>"0611884414025"</f>
        <v>0611884414025</v>
      </c>
      <c r="B11304" t="str">
        <f>"MC2923"</f>
        <v>MC2923</v>
      </c>
      <c r="C11304" t="s">
        <v>11081</v>
      </c>
    </row>
    <row r="11305" spans="1:3" x14ac:dyDescent="0.25">
      <c r="A11305" t="str">
        <f>"0611884415025"</f>
        <v>0611884415025</v>
      </c>
      <c r="B11305" t="str">
        <f>"MC4501"</f>
        <v>MC4501</v>
      </c>
      <c r="C11305" t="s">
        <v>11082</v>
      </c>
    </row>
    <row r="11306" spans="1:3" x14ac:dyDescent="0.25">
      <c r="A11306" t="str">
        <f>"0611838767025"</f>
        <v>0611838767025</v>
      </c>
      <c r="B11306" t="str">
        <f>"MC3663"</f>
        <v>MC3663</v>
      </c>
      <c r="C11306" t="s">
        <v>11083</v>
      </c>
    </row>
    <row r="11307" spans="1:3" x14ac:dyDescent="0.25">
      <c r="A11307" t="str">
        <f>"0611838768025"</f>
        <v>0611838768025</v>
      </c>
      <c r="B11307" t="str">
        <f>"MC3667"</f>
        <v>MC3667</v>
      </c>
      <c r="C11307" t="s">
        <v>11084</v>
      </c>
    </row>
    <row r="11308" spans="1:3" x14ac:dyDescent="0.25">
      <c r="A11308" t="str">
        <f>"0611838769100"</f>
        <v>0611838769100</v>
      </c>
      <c r="B11308" t="str">
        <f>"LK6949"</f>
        <v>LK6949</v>
      </c>
      <c r="C11308" t="s">
        <v>11085</v>
      </c>
    </row>
    <row r="11309" spans="1:3" x14ac:dyDescent="0.25">
      <c r="A11309" t="str">
        <f>"0611838770025"</f>
        <v>0611838770025</v>
      </c>
      <c r="B11309" t="str">
        <f>"MQ7262"</f>
        <v>MQ7262</v>
      </c>
      <c r="C11309" t="s">
        <v>11086</v>
      </c>
    </row>
    <row r="11310" spans="1:3" x14ac:dyDescent="0.25">
      <c r="A11310" t="str">
        <f>"0611838771100"</f>
        <v>0611838771100</v>
      </c>
      <c r="B11310" t="str">
        <f>"LK0941"</f>
        <v>LK0941</v>
      </c>
      <c r="C11310" t="s">
        <v>11087</v>
      </c>
    </row>
    <row r="11311" spans="1:3" x14ac:dyDescent="0.25">
      <c r="A11311" t="str">
        <f>"0611838772025"</f>
        <v>0611838772025</v>
      </c>
      <c r="B11311" t="str">
        <f>"MC2061"</f>
        <v>MC2061</v>
      </c>
      <c r="C11311" t="s">
        <v>11088</v>
      </c>
    </row>
    <row r="11312" spans="1:3" x14ac:dyDescent="0.25">
      <c r="A11312" t="str">
        <f>"0611838773100"</f>
        <v>0611838773100</v>
      </c>
      <c r="B11312" t="str">
        <f>"LB8050"</f>
        <v>LB8050</v>
      </c>
      <c r="C11312" t="s">
        <v>11089</v>
      </c>
    </row>
    <row r="11313" spans="1:3" x14ac:dyDescent="0.25">
      <c r="A11313" t="str">
        <f>"0611838774100"</f>
        <v>0611838774100</v>
      </c>
      <c r="B11313" t="str">
        <f>"LK2388"</f>
        <v>LK2388</v>
      </c>
      <c r="C11313" t="s">
        <v>11090</v>
      </c>
    </row>
    <row r="11314" spans="1:3" x14ac:dyDescent="0.25">
      <c r="A11314" t="str">
        <f>"0611838775025"</f>
        <v>0611838775025</v>
      </c>
      <c r="B11314" t="str">
        <f>"MC0658"</f>
        <v>MC0658</v>
      </c>
      <c r="C11314" t="s">
        <v>11091</v>
      </c>
    </row>
    <row r="11315" spans="1:3" x14ac:dyDescent="0.25">
      <c r="A11315" t="str">
        <f>"0611838776100"</f>
        <v>0611838776100</v>
      </c>
      <c r="B11315" t="str">
        <f>"LK0367"</f>
        <v>LK0367</v>
      </c>
      <c r="C11315" t="s">
        <v>11092</v>
      </c>
    </row>
    <row r="11316" spans="1:3" x14ac:dyDescent="0.25">
      <c r="A11316" t="str">
        <f>"0611838777025"</f>
        <v>0611838777025</v>
      </c>
      <c r="B11316" t="str">
        <f>"MC3897"</f>
        <v>MC3897</v>
      </c>
      <c r="C11316" t="s">
        <v>11093</v>
      </c>
    </row>
    <row r="11317" spans="1:3" x14ac:dyDescent="0.25">
      <c r="A11317" t="str">
        <f>"0611838778100"</f>
        <v>0611838778100</v>
      </c>
      <c r="B11317" t="str">
        <f>"LK4354"</f>
        <v>LK4354</v>
      </c>
      <c r="C11317" t="s">
        <v>11094</v>
      </c>
    </row>
    <row r="11318" spans="1:3" x14ac:dyDescent="0.25">
      <c r="A11318" t="str">
        <f>"0611838779025"</f>
        <v>0611838779025</v>
      </c>
      <c r="B11318" t="str">
        <f>"MC3374"</f>
        <v>MC3374</v>
      </c>
      <c r="C11318" t="s">
        <v>11095</v>
      </c>
    </row>
    <row r="11319" spans="1:3" x14ac:dyDescent="0.25">
      <c r="A11319" t="str">
        <f>"0611838780100"</f>
        <v>0611838780100</v>
      </c>
      <c r="B11319" t="str">
        <f>"LK6950"</f>
        <v>LK6950</v>
      </c>
      <c r="C11319" t="s">
        <v>11096</v>
      </c>
    </row>
    <row r="11320" spans="1:3" x14ac:dyDescent="0.25">
      <c r="A11320" t="str">
        <f>"0611838781025"</f>
        <v>0611838781025</v>
      </c>
      <c r="B11320" t="str">
        <f>"MQ0730"</f>
        <v>MQ0730</v>
      </c>
      <c r="C11320" t="s">
        <v>11097</v>
      </c>
    </row>
    <row r="11321" spans="1:3" x14ac:dyDescent="0.25">
      <c r="A11321" t="str">
        <f>"0611838782025"</f>
        <v>0611838782025</v>
      </c>
      <c r="B11321" t="str">
        <f>"MQ0731"</f>
        <v>MQ0731</v>
      </c>
      <c r="C11321" t="s">
        <v>11098</v>
      </c>
    </row>
    <row r="11322" spans="1:3" x14ac:dyDescent="0.25">
      <c r="A11322" t="str">
        <f>"0611838783025"</f>
        <v>0611838783025</v>
      </c>
      <c r="B11322" t="str">
        <f>"MQ6071"</f>
        <v>MQ6071</v>
      </c>
      <c r="C11322" t="s">
        <v>11099</v>
      </c>
    </row>
    <row r="11323" spans="1:3" x14ac:dyDescent="0.25">
      <c r="A11323" t="str">
        <f>"0611838784025"</f>
        <v>0611838784025</v>
      </c>
      <c r="B11323" t="str">
        <f>"MQ6072"</f>
        <v>MQ6072</v>
      </c>
      <c r="C11323" t="s">
        <v>11100</v>
      </c>
    </row>
    <row r="11324" spans="1:3" x14ac:dyDescent="0.25">
      <c r="A11324" t="str">
        <f>"0611838785025"</f>
        <v>0611838785025</v>
      </c>
      <c r="B11324" t="str">
        <f>"MC3796"</f>
        <v>MC3796</v>
      </c>
      <c r="C11324" t="s">
        <v>11101</v>
      </c>
    </row>
    <row r="11325" spans="1:3" x14ac:dyDescent="0.25">
      <c r="A11325" t="str">
        <f>"0611838786100"</f>
        <v>0611838786100</v>
      </c>
      <c r="B11325" t="str">
        <f>"LK4028"</f>
        <v>LK4028</v>
      </c>
      <c r="C11325" t="s">
        <v>11102</v>
      </c>
    </row>
    <row r="11326" spans="1:3" x14ac:dyDescent="0.25">
      <c r="A11326" t="str">
        <f>"0611838787025"</f>
        <v>0611838787025</v>
      </c>
      <c r="B11326" t="str">
        <f>"MC2793"</f>
        <v>MC2793</v>
      </c>
      <c r="C11326" t="s">
        <v>11103</v>
      </c>
    </row>
    <row r="11327" spans="1:3" x14ac:dyDescent="0.25">
      <c r="A11327" t="str">
        <f>"0611838804100"</f>
        <v>0611838804100</v>
      </c>
      <c r="B11327" t="str">
        <f>"LK0368"</f>
        <v>LK0368</v>
      </c>
      <c r="C11327" t="s">
        <v>11104</v>
      </c>
    </row>
    <row r="11328" spans="1:3" x14ac:dyDescent="0.25">
      <c r="A11328" t="str">
        <f>"0611857097025"</f>
        <v>0611857097025</v>
      </c>
      <c r="B11328" t="str">
        <f>"MC4426"</f>
        <v>MC4426</v>
      </c>
      <c r="C11328" t="s">
        <v>11105</v>
      </c>
    </row>
    <row r="11329" spans="1:3" x14ac:dyDescent="0.25">
      <c r="A11329" t="str">
        <f>"0611838788100"</f>
        <v>0611838788100</v>
      </c>
      <c r="B11329" t="str">
        <f>"LH7279"</f>
        <v>LH7279</v>
      </c>
      <c r="C11329" t="s">
        <v>11106</v>
      </c>
    </row>
    <row r="11330" spans="1:3" x14ac:dyDescent="0.25">
      <c r="A11330" t="str">
        <f>"0611838789100"</f>
        <v>0611838789100</v>
      </c>
      <c r="B11330" t="str">
        <f>"LH7280"</f>
        <v>LH7280</v>
      </c>
      <c r="C11330" t="s">
        <v>11107</v>
      </c>
    </row>
    <row r="11331" spans="1:3" x14ac:dyDescent="0.25">
      <c r="A11331" t="str">
        <f>"0611838790025"</f>
        <v>0611838790025</v>
      </c>
      <c r="B11331" t="str">
        <f>"MC0656"</f>
        <v>MC0656</v>
      </c>
      <c r="C11331" t="s">
        <v>11108</v>
      </c>
    </row>
    <row r="11332" spans="1:3" x14ac:dyDescent="0.25">
      <c r="A11332" t="str">
        <f>"0611838792100"</f>
        <v>0611838792100</v>
      </c>
      <c r="B11332" t="str">
        <f>"LH0021"</f>
        <v>LH0021</v>
      </c>
      <c r="C11332" t="s">
        <v>11109</v>
      </c>
    </row>
    <row r="11333" spans="1:3" x14ac:dyDescent="0.25">
      <c r="A11333" t="str">
        <f>"0611838793100"</f>
        <v>0611838793100</v>
      </c>
      <c r="B11333" t="str">
        <f>"LB8051"</f>
        <v>LB8051</v>
      </c>
      <c r="C11333" t="s">
        <v>11110</v>
      </c>
    </row>
    <row r="11334" spans="1:3" x14ac:dyDescent="0.25">
      <c r="A11334" t="str">
        <f>"0611838794025"</f>
        <v>0611838794025</v>
      </c>
      <c r="B11334" t="str">
        <f>"MC0657"</f>
        <v>MC0657</v>
      </c>
      <c r="C11334" t="s">
        <v>11111</v>
      </c>
    </row>
    <row r="11335" spans="1:3" x14ac:dyDescent="0.25">
      <c r="A11335" t="str">
        <f>"0611838795100"</f>
        <v>0611838795100</v>
      </c>
      <c r="B11335" t="str">
        <f>"LH7276"</f>
        <v>LH7276</v>
      </c>
      <c r="C11335" t="s">
        <v>11112</v>
      </c>
    </row>
    <row r="11336" spans="1:3" x14ac:dyDescent="0.25">
      <c r="A11336" t="str">
        <f>"0611884416025"</f>
        <v>0611884416025</v>
      </c>
      <c r="B11336" t="str">
        <f>"MQ0815"</f>
        <v>MQ0815</v>
      </c>
      <c r="C11336" t="s">
        <v>11113</v>
      </c>
    </row>
    <row r="11337" spans="1:3" x14ac:dyDescent="0.25">
      <c r="A11337" t="str">
        <f>"0611838796025"</f>
        <v>0611838796025</v>
      </c>
      <c r="B11337" t="str">
        <f>"MQ3045"</f>
        <v>MQ3045</v>
      </c>
      <c r="C11337" t="s">
        <v>11114</v>
      </c>
    </row>
    <row r="11338" spans="1:3" x14ac:dyDescent="0.25">
      <c r="A11338" t="str">
        <f>"0611838797025"</f>
        <v>0611838797025</v>
      </c>
      <c r="B11338" t="str">
        <f>"MQ0350"</f>
        <v>MQ0350</v>
      </c>
      <c r="C11338" t="s">
        <v>11115</v>
      </c>
    </row>
    <row r="11339" spans="1:3" x14ac:dyDescent="0.25">
      <c r="A11339" t="str">
        <f>"0611838798100"</f>
        <v>0611838798100</v>
      </c>
      <c r="B11339" t="str">
        <f>"LK1754"</f>
        <v>LK1754</v>
      </c>
      <c r="C11339" t="s">
        <v>11116</v>
      </c>
    </row>
    <row r="11340" spans="1:3" x14ac:dyDescent="0.25">
      <c r="A11340" t="str">
        <f>"0611884417100"</f>
        <v>0611884417100</v>
      </c>
      <c r="B11340" t="str">
        <f>"LK7176"</f>
        <v>LK7176</v>
      </c>
      <c r="C11340" t="s">
        <v>11117</v>
      </c>
    </row>
    <row r="11341" spans="1:3" x14ac:dyDescent="0.25">
      <c r="A11341" t="str">
        <f>"0611838799100"</f>
        <v>0611838799100</v>
      </c>
      <c r="B11341" t="str">
        <f>"LK0944"</f>
        <v>LK0944</v>
      </c>
      <c r="C11341" t="s">
        <v>11118</v>
      </c>
    </row>
    <row r="11342" spans="1:3" x14ac:dyDescent="0.25">
      <c r="A11342" t="str">
        <f>"0611838800025"</f>
        <v>0611838800025</v>
      </c>
      <c r="B11342" t="str">
        <f>"MC1704"</f>
        <v>MC1704</v>
      </c>
      <c r="C11342" t="s">
        <v>11119</v>
      </c>
    </row>
    <row r="11343" spans="1:3" x14ac:dyDescent="0.25">
      <c r="A11343" t="str">
        <f>"0611838801100"</f>
        <v>0611838801100</v>
      </c>
      <c r="B11343" t="str">
        <f>"LQ3774"</f>
        <v>LQ3774</v>
      </c>
      <c r="C11343" t="s">
        <v>11120</v>
      </c>
    </row>
    <row r="11344" spans="1:3" x14ac:dyDescent="0.25">
      <c r="A11344" t="str">
        <f>"0611838802025"</f>
        <v>0611838802025</v>
      </c>
      <c r="B11344" t="str">
        <f>"MQ3217"</f>
        <v>MQ3217</v>
      </c>
      <c r="C11344" t="s">
        <v>11121</v>
      </c>
    </row>
    <row r="11345" spans="1:3" x14ac:dyDescent="0.25">
      <c r="A11345" t="str">
        <f>"0611838803100"</f>
        <v>0611838803100</v>
      </c>
      <c r="B11345" t="str">
        <f>"LQ3862"</f>
        <v>LQ3862</v>
      </c>
      <c r="C11345" t="s">
        <v>11122</v>
      </c>
    </row>
    <row r="11346" spans="1:3" x14ac:dyDescent="0.25">
      <c r="A11346" t="str">
        <f>"0611857098025"</f>
        <v>0611857098025</v>
      </c>
      <c r="B11346" t="str">
        <f>"MC4417"</f>
        <v>MC4417</v>
      </c>
      <c r="C11346" t="s">
        <v>11123</v>
      </c>
    </row>
    <row r="11347" spans="1:3" x14ac:dyDescent="0.25">
      <c r="A11347" t="str">
        <f>"0611838805100"</f>
        <v>0611838805100</v>
      </c>
      <c r="B11347" t="str">
        <f>"LH7310"</f>
        <v>LH7310</v>
      </c>
      <c r="C11347" t="s">
        <v>11124</v>
      </c>
    </row>
    <row r="11348" spans="1:3" x14ac:dyDescent="0.25">
      <c r="A11348" t="str">
        <f>"0611906925025"</f>
        <v>0611906925025</v>
      </c>
      <c r="B11348" t="str">
        <f>"MQ0672"</f>
        <v>MQ0672</v>
      </c>
      <c r="C11348" t="s">
        <v>11125</v>
      </c>
    </row>
    <row r="11349" spans="1:3" x14ac:dyDescent="0.25">
      <c r="A11349" t="str">
        <f>"0611906926025"</f>
        <v>0611906926025</v>
      </c>
      <c r="B11349" t="str">
        <f>"MQ7563"</f>
        <v>MQ7563</v>
      </c>
      <c r="C11349" t="s">
        <v>11126</v>
      </c>
    </row>
    <row r="11350" spans="1:3" x14ac:dyDescent="0.25">
      <c r="A11350" t="str">
        <f>"0611906927025"</f>
        <v>0611906927025</v>
      </c>
      <c r="B11350" t="str">
        <f>"MQ0673"</f>
        <v>MQ0673</v>
      </c>
      <c r="C11350" t="s">
        <v>11127</v>
      </c>
    </row>
    <row r="11351" spans="1:3" x14ac:dyDescent="0.25">
      <c r="A11351" t="str">
        <f>"0611906928025"</f>
        <v>0611906928025</v>
      </c>
      <c r="B11351" t="str">
        <f>"MQ0674"</f>
        <v>MQ0674</v>
      </c>
      <c r="C11351" t="s">
        <v>11128</v>
      </c>
    </row>
    <row r="11352" spans="1:3" x14ac:dyDescent="0.25">
      <c r="A11352" t="str">
        <f>"0611906929025"</f>
        <v>0611906929025</v>
      </c>
      <c r="B11352" t="str">
        <f>"MQ0675"</f>
        <v>MQ0675</v>
      </c>
      <c r="C11352" t="s">
        <v>11129</v>
      </c>
    </row>
    <row r="11353" spans="1:3" x14ac:dyDescent="0.25">
      <c r="A11353" t="str">
        <f>"0611906930025"</f>
        <v>0611906930025</v>
      </c>
      <c r="B11353" t="str">
        <f>"MQ0676"</f>
        <v>MQ0676</v>
      </c>
      <c r="C11353" t="s">
        <v>11130</v>
      </c>
    </row>
    <row r="11354" spans="1:3" x14ac:dyDescent="0.25">
      <c r="A11354" t="str">
        <f>"0611906931025"</f>
        <v>0611906931025</v>
      </c>
      <c r="B11354" t="str">
        <f>"MQ0677"</f>
        <v>MQ0677</v>
      </c>
      <c r="C11354" t="s">
        <v>11131</v>
      </c>
    </row>
    <row r="11355" spans="1:3" x14ac:dyDescent="0.25">
      <c r="A11355" t="str">
        <f>"0611906932025"</f>
        <v>0611906932025</v>
      </c>
      <c r="B11355" t="str">
        <f>"MQ7564"</f>
        <v>MQ7564</v>
      </c>
      <c r="C11355" t="s">
        <v>11132</v>
      </c>
    </row>
    <row r="11356" spans="1:3" x14ac:dyDescent="0.25">
      <c r="A11356" t="str">
        <f>"0611906933025"</f>
        <v>0611906933025</v>
      </c>
      <c r="B11356" t="str">
        <f>"MQ0678"</f>
        <v>MQ0678</v>
      </c>
      <c r="C11356" t="s">
        <v>11133</v>
      </c>
    </row>
    <row r="11357" spans="1:3" x14ac:dyDescent="0.25">
      <c r="A11357" t="str">
        <f>"0611906934025"</f>
        <v>0611906934025</v>
      </c>
      <c r="B11357" t="str">
        <f>"MQ0679"</f>
        <v>MQ0679</v>
      </c>
      <c r="C11357" t="s">
        <v>11134</v>
      </c>
    </row>
    <row r="11358" spans="1:3" x14ac:dyDescent="0.25">
      <c r="A11358" t="str">
        <f>"0611838806100"</f>
        <v>0611838806100</v>
      </c>
      <c r="B11358" t="str">
        <f>"LB8054"</f>
        <v>LB8054</v>
      </c>
      <c r="C11358" t="s">
        <v>11135</v>
      </c>
    </row>
    <row r="11359" spans="1:3" x14ac:dyDescent="0.25">
      <c r="A11359" t="str">
        <f>"0611838807025"</f>
        <v>0611838807025</v>
      </c>
      <c r="B11359" t="str">
        <f>"MC3898"</f>
        <v>MC3898</v>
      </c>
      <c r="C11359" t="s">
        <v>11136</v>
      </c>
    </row>
    <row r="11360" spans="1:3" x14ac:dyDescent="0.25">
      <c r="A11360" t="str">
        <f>"0611906935100"</f>
        <v>0611906935100</v>
      </c>
      <c r="B11360" t="str">
        <f>"LQ6336"</f>
        <v>LQ6336</v>
      </c>
      <c r="C11360" t="s">
        <v>11137</v>
      </c>
    </row>
    <row r="11361" spans="1:3" x14ac:dyDescent="0.25">
      <c r="A11361" t="str">
        <f>"0611906936100"</f>
        <v>0611906936100</v>
      </c>
      <c r="B11361" t="str">
        <f>"LK7209"</f>
        <v>LK7209</v>
      </c>
      <c r="C11361" t="s">
        <v>11138</v>
      </c>
    </row>
    <row r="11362" spans="1:3" x14ac:dyDescent="0.25">
      <c r="A11362" t="str">
        <f>"0611838809100"</f>
        <v>0611838809100</v>
      </c>
      <c r="B11362" t="str">
        <f>"LB8052"</f>
        <v>LB8052</v>
      </c>
      <c r="C11362" t="s">
        <v>11139</v>
      </c>
    </row>
    <row r="11363" spans="1:3" x14ac:dyDescent="0.25">
      <c r="A11363" t="str">
        <f>"0611838810025"</f>
        <v>0611838810025</v>
      </c>
      <c r="B11363" t="str">
        <f>"MC1481"</f>
        <v>MC1481</v>
      </c>
      <c r="C11363" t="s">
        <v>11140</v>
      </c>
    </row>
    <row r="11364" spans="1:3" x14ac:dyDescent="0.25">
      <c r="A11364" t="str">
        <f>"0611838811100"</f>
        <v>0611838811100</v>
      </c>
      <c r="B11364" t="str">
        <f>"LK0947"</f>
        <v>LK0947</v>
      </c>
      <c r="C11364" t="s">
        <v>11141</v>
      </c>
    </row>
    <row r="11365" spans="1:3" x14ac:dyDescent="0.25">
      <c r="A11365" t="str">
        <f>"0611838812100"</f>
        <v>0611838812100</v>
      </c>
      <c r="B11365" t="str">
        <f>"LK2392"</f>
        <v>LK2392</v>
      </c>
      <c r="C11365" t="s">
        <v>11142</v>
      </c>
    </row>
    <row r="11366" spans="1:3" x14ac:dyDescent="0.25">
      <c r="A11366" t="str">
        <f>"0611838813100"</f>
        <v>0611838813100</v>
      </c>
      <c r="B11366" t="str">
        <f>"LK0948"</f>
        <v>LK0948</v>
      </c>
      <c r="C11366" t="s">
        <v>11143</v>
      </c>
    </row>
    <row r="11367" spans="1:3" x14ac:dyDescent="0.25">
      <c r="A11367" t="str">
        <f>"0611838814025"</f>
        <v>0611838814025</v>
      </c>
      <c r="B11367" t="str">
        <f>"MC0911"</f>
        <v>MC0911</v>
      </c>
      <c r="C11367" t="s">
        <v>11144</v>
      </c>
    </row>
    <row r="11368" spans="1:3" x14ac:dyDescent="0.25">
      <c r="A11368" t="str">
        <f>"0611838815025"</f>
        <v>0611838815025</v>
      </c>
      <c r="B11368" t="str">
        <f>"MC4231"</f>
        <v>MC4231</v>
      </c>
      <c r="C11368" t="s">
        <v>11145</v>
      </c>
    </row>
    <row r="11369" spans="1:3" x14ac:dyDescent="0.25">
      <c r="A11369" t="str">
        <f>"0611906937025"</f>
        <v>0611906937025</v>
      </c>
      <c r="B11369" t="str">
        <f>"MQ7197"</f>
        <v>MQ7197</v>
      </c>
      <c r="C11369" t="s">
        <v>11146</v>
      </c>
    </row>
    <row r="11370" spans="1:3" x14ac:dyDescent="0.25">
      <c r="A11370" t="str">
        <f>"0611838817025"</f>
        <v>0611838817025</v>
      </c>
      <c r="B11370" t="str">
        <f>"MC1612"</f>
        <v>MC1612</v>
      </c>
      <c r="C11370" t="s">
        <v>11147</v>
      </c>
    </row>
    <row r="11371" spans="1:3" x14ac:dyDescent="0.25">
      <c r="A11371" t="str">
        <f>"0611838818025"</f>
        <v>0611838818025</v>
      </c>
      <c r="B11371" t="str">
        <f>"MC2292"</f>
        <v>MC2292</v>
      </c>
      <c r="C11371" t="s">
        <v>11148</v>
      </c>
    </row>
    <row r="11372" spans="1:3" x14ac:dyDescent="0.25">
      <c r="A11372" t="str">
        <f>"0611838819025"</f>
        <v>0611838819025</v>
      </c>
      <c r="B11372" t="str">
        <f>"MC2625"</f>
        <v>MC2625</v>
      </c>
      <c r="C11372" t="s">
        <v>11149</v>
      </c>
    </row>
    <row r="11373" spans="1:3" x14ac:dyDescent="0.25">
      <c r="A11373" t="str">
        <f>"0611838821100"</f>
        <v>0611838821100</v>
      </c>
      <c r="B11373" t="str">
        <f>"LH8921"</f>
        <v>LH8921</v>
      </c>
      <c r="C11373" t="s">
        <v>11150</v>
      </c>
    </row>
    <row r="11374" spans="1:3" x14ac:dyDescent="0.25">
      <c r="A11374" t="str">
        <f>"0611838822100"</f>
        <v>0611838822100</v>
      </c>
      <c r="B11374" t="str">
        <f>"LH8850"</f>
        <v>LH8850</v>
      </c>
      <c r="C11374" t="s">
        <v>11151</v>
      </c>
    </row>
    <row r="11375" spans="1:3" x14ac:dyDescent="0.25">
      <c r="A11375" t="str">
        <f>"0611838823100"</f>
        <v>0611838823100</v>
      </c>
      <c r="B11375" t="str">
        <f>"LC9300"</f>
        <v>LC9300</v>
      </c>
      <c r="C11375" t="s">
        <v>11152</v>
      </c>
    </row>
    <row r="11376" spans="1:3" x14ac:dyDescent="0.25">
      <c r="A11376" t="str">
        <f>"0611884418025"</f>
        <v>0611884418025</v>
      </c>
      <c r="B11376" t="str">
        <f>"MC4505"</f>
        <v>MC4505</v>
      </c>
      <c r="C11376" t="s">
        <v>11153</v>
      </c>
    </row>
    <row r="11377" spans="1:3" x14ac:dyDescent="0.25">
      <c r="A11377" t="str">
        <f>"0611838824025"</f>
        <v>0611838824025</v>
      </c>
      <c r="B11377" t="str">
        <f>"MC2062"</f>
        <v>MC2062</v>
      </c>
      <c r="C11377" t="s">
        <v>11154</v>
      </c>
    </row>
    <row r="11378" spans="1:3" x14ac:dyDescent="0.25">
      <c r="A11378" t="str">
        <f>"0611838825100"</f>
        <v>0611838825100</v>
      </c>
      <c r="B11378" t="str">
        <f>"LC9301"</f>
        <v>LC9301</v>
      </c>
      <c r="C11378" t="s">
        <v>11155</v>
      </c>
    </row>
    <row r="11379" spans="1:3" x14ac:dyDescent="0.25">
      <c r="A11379" t="str">
        <f>"0611884419025"</f>
        <v>0611884419025</v>
      </c>
      <c r="B11379" t="str">
        <f>"MC4497"</f>
        <v>MC4497</v>
      </c>
      <c r="C11379" t="s">
        <v>11157</v>
      </c>
    </row>
    <row r="11380" spans="1:3" x14ac:dyDescent="0.25">
      <c r="A11380" t="str">
        <f>"0611838826100"</f>
        <v>0611838826100</v>
      </c>
      <c r="B11380" t="str">
        <f>"LC0010"</f>
        <v>LC0010</v>
      </c>
      <c r="C11380" t="s">
        <v>11156</v>
      </c>
    </row>
    <row r="11381" spans="1:3" x14ac:dyDescent="0.25">
      <c r="A11381" t="str">
        <f>"0611838827100"</f>
        <v>0611838827100</v>
      </c>
      <c r="B11381" t="str">
        <f>"LC8800"</f>
        <v>LC8800</v>
      </c>
      <c r="C11381" t="s">
        <v>11158</v>
      </c>
    </row>
    <row r="11382" spans="1:3" x14ac:dyDescent="0.25">
      <c r="A11382" t="str">
        <f>"0611884420025"</f>
        <v>0611884420025</v>
      </c>
      <c r="B11382" t="str">
        <f>"MC4502"</f>
        <v>MC4502</v>
      </c>
      <c r="C11382" t="s">
        <v>11159</v>
      </c>
    </row>
    <row r="11383" spans="1:3" x14ac:dyDescent="0.25">
      <c r="A11383" t="str">
        <f>"0611863929100"</f>
        <v>0611863929100</v>
      </c>
      <c r="B11383" t="str">
        <f>"CN5368"</f>
        <v>CN5368</v>
      </c>
      <c r="C11383" t="s">
        <v>11161</v>
      </c>
    </row>
    <row r="11384" spans="1:3" x14ac:dyDescent="0.25">
      <c r="A11384" t="str">
        <f>"0611838828025"</f>
        <v>0611838828025</v>
      </c>
      <c r="B11384" t="str">
        <f>"MC0659"</f>
        <v>MC0659</v>
      </c>
      <c r="C11384" t="s">
        <v>11163</v>
      </c>
    </row>
    <row r="11385" spans="1:3" x14ac:dyDescent="0.25">
      <c r="A11385" t="str">
        <f>"0611838829025"</f>
        <v>0611838829025</v>
      </c>
      <c r="B11385" t="str">
        <f>"MC3460"</f>
        <v>MC3460</v>
      </c>
      <c r="C11385" t="s">
        <v>11164</v>
      </c>
    </row>
    <row r="11386" spans="1:3" x14ac:dyDescent="0.25">
      <c r="A11386" t="str">
        <f>"0611838830025"</f>
        <v>0611838830025</v>
      </c>
      <c r="B11386" t="str">
        <f>"MC0660"</f>
        <v>MC0660</v>
      </c>
      <c r="C11386" t="s">
        <v>11165</v>
      </c>
    </row>
    <row r="11387" spans="1:3" x14ac:dyDescent="0.25">
      <c r="A11387" t="str">
        <f>"0611838831100"</f>
        <v>0611838831100</v>
      </c>
      <c r="B11387" t="str">
        <f>"LG6530"</f>
        <v>LG6530</v>
      </c>
      <c r="C11387" t="s">
        <v>11166</v>
      </c>
    </row>
    <row r="11388" spans="1:3" x14ac:dyDescent="0.25">
      <c r="A11388" t="str">
        <f>"0611863892050"</f>
        <v>0611863892050</v>
      </c>
      <c r="B11388" t="str">
        <f>"CR4608"</f>
        <v>CR4608</v>
      </c>
      <c r="C11388" t="s">
        <v>11167</v>
      </c>
    </row>
    <row r="11389" spans="1:3" x14ac:dyDescent="0.25">
      <c r="A11389" t="str">
        <f>"0611863893050"</f>
        <v>0611863893050</v>
      </c>
      <c r="B11389" t="str">
        <f>"CR4622"</f>
        <v>CR4622</v>
      </c>
      <c r="C11389" t="s">
        <v>11168</v>
      </c>
    </row>
    <row r="11390" spans="1:3" x14ac:dyDescent="0.25">
      <c r="A11390" t="str">
        <f>"0611863894050"</f>
        <v>0611863894050</v>
      </c>
      <c r="B11390" t="str">
        <f>"CR4623"</f>
        <v>CR4623</v>
      </c>
      <c r="C11390" t="s">
        <v>11169</v>
      </c>
    </row>
    <row r="11391" spans="1:3" x14ac:dyDescent="0.25">
      <c r="A11391" t="str">
        <f>"0611863895050"</f>
        <v>0611863895050</v>
      </c>
      <c r="B11391" t="str">
        <f>"CR4621"</f>
        <v>CR4621</v>
      </c>
      <c r="C11391" t="s">
        <v>11170</v>
      </c>
    </row>
    <row r="11392" spans="1:3" x14ac:dyDescent="0.25">
      <c r="A11392" t="str">
        <f>"0611863896050"</f>
        <v>0611863896050</v>
      </c>
      <c r="B11392" t="str">
        <f>"CR4620"</f>
        <v>CR4620</v>
      </c>
      <c r="C11392" t="s">
        <v>11171</v>
      </c>
    </row>
    <row r="11393" spans="1:3" x14ac:dyDescent="0.25">
      <c r="A11393" t="str">
        <f>"0611863897050"</f>
        <v>0611863897050</v>
      </c>
      <c r="B11393" t="str">
        <f>"CR4890"</f>
        <v>CR4890</v>
      </c>
      <c r="C11393" t="s">
        <v>11172</v>
      </c>
    </row>
    <row r="11394" spans="1:3" x14ac:dyDescent="0.25">
      <c r="A11394" t="str">
        <f>"0611863898050"</f>
        <v>0611863898050</v>
      </c>
      <c r="B11394" t="str">
        <f>"CR4624"</f>
        <v>CR4624</v>
      </c>
      <c r="C11394" t="s">
        <v>11173</v>
      </c>
    </row>
    <row r="11395" spans="1:3" x14ac:dyDescent="0.25">
      <c r="A11395" t="str">
        <f>"0611863899050"</f>
        <v>0611863899050</v>
      </c>
      <c r="B11395" t="str">
        <f>"CR4900"</f>
        <v>CR4900</v>
      </c>
      <c r="C11395" t="s">
        <v>11174</v>
      </c>
    </row>
    <row r="11396" spans="1:3" x14ac:dyDescent="0.25">
      <c r="A11396" t="str">
        <f>"0611863900050"</f>
        <v>0611863900050</v>
      </c>
      <c r="B11396" t="str">
        <f>"CR4891"</f>
        <v>CR4891</v>
      </c>
      <c r="C11396" t="s">
        <v>13941</v>
      </c>
    </row>
    <row r="11397" spans="1:3" x14ac:dyDescent="0.25">
      <c r="A11397" t="str">
        <f>"0611884421050"</f>
        <v>0611884421050</v>
      </c>
      <c r="B11397" t="str">
        <f>"CR5291"</f>
        <v>CR5291</v>
      </c>
      <c r="C11397" t="s">
        <v>11175</v>
      </c>
    </row>
    <row r="11398" spans="1:3" x14ac:dyDescent="0.25">
      <c r="A11398" t="str">
        <f>"0611884422050"</f>
        <v>0611884422050</v>
      </c>
      <c r="B11398" t="str">
        <f>"CR5292"</f>
        <v>CR5292</v>
      </c>
      <c r="C11398" t="s">
        <v>11176</v>
      </c>
    </row>
    <row r="11399" spans="1:3" x14ac:dyDescent="0.25">
      <c r="A11399" t="str">
        <f>"0611863901050"</f>
        <v>0611863901050</v>
      </c>
      <c r="B11399" t="str">
        <f>"CR4892"</f>
        <v>CR4892</v>
      </c>
      <c r="C11399" t="s">
        <v>11177</v>
      </c>
    </row>
    <row r="11400" spans="1:3" x14ac:dyDescent="0.25">
      <c r="A11400" t="str">
        <f>"0611863902050"</f>
        <v>0611863902050</v>
      </c>
      <c r="B11400" t="str">
        <f>"CR4609"</f>
        <v>CR4609</v>
      </c>
      <c r="C11400" t="s">
        <v>11178</v>
      </c>
    </row>
    <row r="11401" spans="1:3" x14ac:dyDescent="0.25">
      <c r="A11401" t="str">
        <f>"0611884423050"</f>
        <v>0611884423050</v>
      </c>
      <c r="B11401" t="str">
        <f>"CR5293"</f>
        <v>CR5293</v>
      </c>
      <c r="C11401" t="s">
        <v>11179</v>
      </c>
    </row>
    <row r="11402" spans="1:3" x14ac:dyDescent="0.25">
      <c r="A11402" t="str">
        <f>"0611863903050"</f>
        <v>0611863903050</v>
      </c>
      <c r="B11402" t="str">
        <f>"CR4619"</f>
        <v>CR4619</v>
      </c>
      <c r="C11402" t="s">
        <v>11180</v>
      </c>
    </row>
    <row r="11403" spans="1:3" x14ac:dyDescent="0.25">
      <c r="A11403" t="str">
        <f>"0611884424050"</f>
        <v>0611884424050</v>
      </c>
      <c r="B11403" t="str">
        <f>"CR5294"</f>
        <v>CR5294</v>
      </c>
      <c r="C11403" t="s">
        <v>11181</v>
      </c>
    </row>
    <row r="11404" spans="1:3" x14ac:dyDescent="0.25">
      <c r="A11404" t="str">
        <f>"0611863904050"</f>
        <v>0611863904050</v>
      </c>
      <c r="B11404" t="str">
        <f>"CR4612"</f>
        <v>CR4612</v>
      </c>
      <c r="C11404" t="s">
        <v>11182</v>
      </c>
    </row>
    <row r="11405" spans="1:3" x14ac:dyDescent="0.25">
      <c r="A11405" t="str">
        <f>"0611863905050"</f>
        <v>0611863905050</v>
      </c>
      <c r="B11405" t="str">
        <f>"CR4613"</f>
        <v>CR4613</v>
      </c>
      <c r="C11405" t="s">
        <v>11183</v>
      </c>
    </row>
    <row r="11406" spans="1:3" x14ac:dyDescent="0.25">
      <c r="A11406" t="str">
        <f>"0611884425050"</f>
        <v>0611884425050</v>
      </c>
      <c r="B11406" t="str">
        <f>"CR5295"</f>
        <v>CR5295</v>
      </c>
      <c r="C11406" t="s">
        <v>11184</v>
      </c>
    </row>
    <row r="11407" spans="1:3" x14ac:dyDescent="0.25">
      <c r="A11407" t="str">
        <f>"0611863906050"</f>
        <v>0611863906050</v>
      </c>
      <c r="B11407" t="str">
        <f>"CR4615"</f>
        <v>CR4615</v>
      </c>
      <c r="C11407" t="s">
        <v>11185</v>
      </c>
    </row>
    <row r="11408" spans="1:3" x14ac:dyDescent="0.25">
      <c r="A11408" t="str">
        <f>"0611884426050"</f>
        <v>0611884426050</v>
      </c>
      <c r="B11408" t="str">
        <f>"CR5296"</f>
        <v>CR5296</v>
      </c>
      <c r="C11408" t="s">
        <v>11186</v>
      </c>
    </row>
    <row r="11409" spans="1:3" x14ac:dyDescent="0.25">
      <c r="A11409" t="str">
        <f>"0611884427050"</f>
        <v>0611884427050</v>
      </c>
      <c r="B11409" t="str">
        <f>"CR5297"</f>
        <v>CR5297</v>
      </c>
      <c r="C11409" t="s">
        <v>11187</v>
      </c>
    </row>
    <row r="11410" spans="1:3" x14ac:dyDescent="0.25">
      <c r="A11410" t="str">
        <f>"0611884428050"</f>
        <v>0611884428050</v>
      </c>
      <c r="B11410" t="str">
        <f>"CR5298"</f>
        <v>CR5298</v>
      </c>
      <c r="C11410" t="s">
        <v>11188</v>
      </c>
    </row>
    <row r="11411" spans="1:3" x14ac:dyDescent="0.25">
      <c r="A11411" t="str">
        <f>"0611863907050"</f>
        <v>0611863907050</v>
      </c>
      <c r="B11411" t="str">
        <f>"CR4614"</f>
        <v>CR4614</v>
      </c>
      <c r="C11411" t="s">
        <v>11189</v>
      </c>
    </row>
    <row r="11412" spans="1:3" x14ac:dyDescent="0.25">
      <c r="A11412" t="str">
        <f>"0611884429050"</f>
        <v>0611884429050</v>
      </c>
      <c r="B11412" t="str">
        <f>"CR5299"</f>
        <v>CR5299</v>
      </c>
      <c r="C11412" t="s">
        <v>11190</v>
      </c>
    </row>
    <row r="11413" spans="1:3" x14ac:dyDescent="0.25">
      <c r="A11413" t="str">
        <f>"0611863908050"</f>
        <v>0611863908050</v>
      </c>
      <c r="B11413" t="str">
        <f>"CR4616"</f>
        <v>CR4616</v>
      </c>
      <c r="C11413" t="s">
        <v>11191</v>
      </c>
    </row>
    <row r="11414" spans="1:3" x14ac:dyDescent="0.25">
      <c r="A11414" t="str">
        <f>"0611863909050"</f>
        <v>0611863909050</v>
      </c>
      <c r="B11414" t="str">
        <f>"CR4899"</f>
        <v>CR4899</v>
      </c>
      <c r="C11414" t="s">
        <v>11192</v>
      </c>
    </row>
    <row r="11415" spans="1:3" x14ac:dyDescent="0.25">
      <c r="A11415" t="str">
        <f>"0611863910050"</f>
        <v>0611863910050</v>
      </c>
      <c r="B11415" t="str">
        <f>"CR4617"</f>
        <v>CR4617</v>
      </c>
      <c r="C11415" t="s">
        <v>11193</v>
      </c>
    </row>
    <row r="11416" spans="1:3" x14ac:dyDescent="0.25">
      <c r="A11416" t="str">
        <f>"0611863911050"</f>
        <v>0611863911050</v>
      </c>
      <c r="B11416" t="str">
        <f>"CR4618"</f>
        <v>CR4618</v>
      </c>
      <c r="C11416" t="s">
        <v>11194</v>
      </c>
    </row>
    <row r="11417" spans="1:3" x14ac:dyDescent="0.25">
      <c r="A11417" t="str">
        <f>"0611863912050"</f>
        <v>0611863912050</v>
      </c>
      <c r="B11417" t="str">
        <f>"CR4893"</f>
        <v>CR4893</v>
      </c>
      <c r="C11417" t="s">
        <v>11195</v>
      </c>
    </row>
    <row r="11418" spans="1:3" x14ac:dyDescent="0.25">
      <c r="A11418" t="str">
        <f>"0611863913050"</f>
        <v>0611863913050</v>
      </c>
      <c r="B11418" t="str">
        <f>"CR5066"</f>
        <v>CR5066</v>
      </c>
      <c r="C11418" t="s">
        <v>11196</v>
      </c>
    </row>
    <row r="11419" spans="1:3" x14ac:dyDescent="0.25">
      <c r="A11419" t="str">
        <f>"0611863914050"</f>
        <v>0611863914050</v>
      </c>
      <c r="B11419" t="str">
        <f>"CR4894"</f>
        <v>CR4894</v>
      </c>
      <c r="C11419" t="s">
        <v>11197</v>
      </c>
    </row>
    <row r="11420" spans="1:3" x14ac:dyDescent="0.25">
      <c r="A11420" t="str">
        <f>"0611863915050"</f>
        <v>0611863915050</v>
      </c>
      <c r="B11420" t="str">
        <f>"CR4895"</f>
        <v>CR4895</v>
      </c>
      <c r="C11420" t="s">
        <v>11198</v>
      </c>
    </row>
    <row r="11421" spans="1:3" x14ac:dyDescent="0.25">
      <c r="A11421" t="str">
        <f>"0611863916050"</f>
        <v>0611863916050</v>
      </c>
      <c r="B11421" t="str">
        <f>"CR4896"</f>
        <v>CR4896</v>
      </c>
      <c r="C11421" t="s">
        <v>11199</v>
      </c>
    </row>
    <row r="11422" spans="1:3" x14ac:dyDescent="0.25">
      <c r="A11422" t="str">
        <f>"0611863917050"</f>
        <v>0611863917050</v>
      </c>
      <c r="B11422" t="str">
        <f>"CR4610"</f>
        <v>CR4610</v>
      </c>
      <c r="C11422" t="s">
        <v>11200</v>
      </c>
    </row>
    <row r="11423" spans="1:3" x14ac:dyDescent="0.25">
      <c r="A11423" t="str">
        <f>"0611863918050"</f>
        <v>0611863918050</v>
      </c>
      <c r="B11423" t="str">
        <f>"CR4611"</f>
        <v>CR4611</v>
      </c>
      <c r="C11423" t="s">
        <v>11201</v>
      </c>
    </row>
    <row r="11424" spans="1:3" x14ac:dyDescent="0.25">
      <c r="A11424" t="str">
        <f>"0611884430050"</f>
        <v>0611884430050</v>
      </c>
      <c r="B11424" t="str">
        <f>"CR5301"</f>
        <v>CR5301</v>
      </c>
      <c r="C11424" t="s">
        <v>11202</v>
      </c>
    </row>
    <row r="11425" spans="1:3" x14ac:dyDescent="0.25">
      <c r="A11425" t="str">
        <f>"0611884431050"</f>
        <v>0611884431050</v>
      </c>
      <c r="B11425" t="str">
        <f>"CR5302"</f>
        <v>CR5302</v>
      </c>
      <c r="C11425" t="s">
        <v>11203</v>
      </c>
    </row>
    <row r="11426" spans="1:3" x14ac:dyDescent="0.25">
      <c r="A11426" t="str">
        <f>"0611884432050"</f>
        <v>0611884432050</v>
      </c>
      <c r="B11426" t="str">
        <f>"CR5304"</f>
        <v>CR5304</v>
      </c>
      <c r="C11426" t="s">
        <v>11204</v>
      </c>
    </row>
    <row r="11427" spans="1:3" x14ac:dyDescent="0.25">
      <c r="A11427" t="str">
        <f>"0611884433050"</f>
        <v>0611884433050</v>
      </c>
      <c r="B11427" t="str">
        <f>"CR5305"</f>
        <v>CR5305</v>
      </c>
      <c r="C11427" t="s">
        <v>11205</v>
      </c>
    </row>
    <row r="11428" spans="1:3" x14ac:dyDescent="0.25">
      <c r="A11428" t="str">
        <f>"0611863919050"</f>
        <v>0611863919050</v>
      </c>
      <c r="B11428" t="str">
        <f>"CR4897"</f>
        <v>CR4897</v>
      </c>
      <c r="C11428" t="s">
        <v>11206</v>
      </c>
    </row>
    <row r="11429" spans="1:3" x14ac:dyDescent="0.25">
      <c r="A11429" t="str">
        <f>"0611863920050"</f>
        <v>0611863920050</v>
      </c>
      <c r="B11429" t="str">
        <f>"CR4625"</f>
        <v>CR4625</v>
      </c>
      <c r="C11429" t="s">
        <v>11207</v>
      </c>
    </row>
    <row r="11430" spans="1:3" x14ac:dyDescent="0.25">
      <c r="A11430" t="str">
        <f>"0611863921050"</f>
        <v>0611863921050</v>
      </c>
      <c r="B11430" t="str">
        <f>"CR4626"</f>
        <v>CR4626</v>
      </c>
      <c r="C11430" t="s">
        <v>11208</v>
      </c>
    </row>
    <row r="11431" spans="1:3" x14ac:dyDescent="0.25">
      <c r="A11431" t="str">
        <f>"0611863922050"</f>
        <v>0611863922050</v>
      </c>
      <c r="B11431" t="str">
        <f>"CR4627"</f>
        <v>CR4627</v>
      </c>
      <c r="C11431" t="s">
        <v>11209</v>
      </c>
    </row>
    <row r="11432" spans="1:3" x14ac:dyDescent="0.25">
      <c r="A11432" t="str">
        <f>"0611863923050"</f>
        <v>0611863923050</v>
      </c>
      <c r="B11432" t="str">
        <f>"CR4628"</f>
        <v>CR4628</v>
      </c>
      <c r="C11432" t="s">
        <v>11210</v>
      </c>
    </row>
    <row r="11433" spans="1:3" x14ac:dyDescent="0.25">
      <c r="A11433" t="str">
        <f>"0611863924050"</f>
        <v>0611863924050</v>
      </c>
      <c r="B11433" t="str">
        <f>"CR4629"</f>
        <v>CR4629</v>
      </c>
      <c r="C11433" t="s">
        <v>11211</v>
      </c>
    </row>
    <row r="11434" spans="1:3" x14ac:dyDescent="0.25">
      <c r="A11434" t="str">
        <f>"0611863925050"</f>
        <v>0611863925050</v>
      </c>
      <c r="B11434" t="str">
        <f>"CR4630"</f>
        <v>CR4630</v>
      </c>
      <c r="C11434" t="s">
        <v>11212</v>
      </c>
    </row>
    <row r="11435" spans="1:3" x14ac:dyDescent="0.25">
      <c r="A11435" t="str">
        <f>"0611863926050"</f>
        <v>0611863926050</v>
      </c>
      <c r="B11435" t="str">
        <f>"CR4631"</f>
        <v>CR4631</v>
      </c>
      <c r="C11435" t="s">
        <v>11213</v>
      </c>
    </row>
    <row r="11436" spans="1:3" x14ac:dyDescent="0.25">
      <c r="A11436" t="str">
        <f>"0611863927050"</f>
        <v>0611863927050</v>
      </c>
      <c r="B11436" t="str">
        <f>"CR4632"</f>
        <v>CR4632</v>
      </c>
      <c r="C11436" t="s">
        <v>11214</v>
      </c>
    </row>
    <row r="11437" spans="1:3" x14ac:dyDescent="0.25">
      <c r="A11437" t="str">
        <f>"0611863928050"</f>
        <v>0611863928050</v>
      </c>
      <c r="B11437" t="str">
        <f>"CR4898"</f>
        <v>CR4898</v>
      </c>
      <c r="C11437" t="s">
        <v>11215</v>
      </c>
    </row>
    <row r="11438" spans="1:3" x14ac:dyDescent="0.25">
      <c r="A11438" t="str">
        <f>"0611838835100"</f>
        <v>0611838835100</v>
      </c>
      <c r="B11438" t="str">
        <f>"LB8100"</f>
        <v>LB8100</v>
      </c>
      <c r="C11438" t="s">
        <v>11219</v>
      </c>
    </row>
    <row r="11439" spans="1:3" x14ac:dyDescent="0.25">
      <c r="A11439" t="str">
        <f>"0611838833100"</f>
        <v>0611838833100</v>
      </c>
      <c r="B11439" t="str">
        <f>"LB8115"</f>
        <v>LB8115</v>
      </c>
      <c r="C11439" t="s">
        <v>11217</v>
      </c>
    </row>
    <row r="11440" spans="1:3" x14ac:dyDescent="0.25">
      <c r="A11440" t="str">
        <f>"0611838834100"</f>
        <v>0611838834100</v>
      </c>
      <c r="B11440" t="str">
        <f>"LK3005"</f>
        <v>LK3005</v>
      </c>
      <c r="C11440" t="s">
        <v>11218</v>
      </c>
    </row>
    <row r="11441" spans="1:3" x14ac:dyDescent="0.25">
      <c r="A11441" t="str">
        <f>"0611838837025"</f>
        <v>0611838837025</v>
      </c>
      <c r="B11441" t="str">
        <f>"MQ0580"</f>
        <v>MQ0580</v>
      </c>
      <c r="C11441" t="s">
        <v>11220</v>
      </c>
    </row>
    <row r="11442" spans="1:3" x14ac:dyDescent="0.25">
      <c r="A11442" t="str">
        <f>"0611838838025"</f>
        <v>0611838838025</v>
      </c>
      <c r="B11442" t="str">
        <f>"MC4325"</f>
        <v>MC4325</v>
      </c>
      <c r="C11442" t="s">
        <v>11221</v>
      </c>
    </row>
    <row r="11443" spans="1:3" x14ac:dyDescent="0.25">
      <c r="A11443" t="str">
        <f>"0611884434100"</f>
        <v>0611884434100</v>
      </c>
      <c r="B11443" t="str">
        <f>"LQ3936"</f>
        <v>LQ3936</v>
      </c>
      <c r="C11443" t="s">
        <v>11222</v>
      </c>
    </row>
    <row r="11444" spans="1:3" x14ac:dyDescent="0.25">
      <c r="A11444" t="str">
        <f>"0611838839100"</f>
        <v>0611838839100</v>
      </c>
      <c r="B11444" t="str">
        <f>"LQ9012"</f>
        <v>LQ9012</v>
      </c>
      <c r="C11444" t="s">
        <v>11223</v>
      </c>
    </row>
    <row r="11445" spans="1:3" x14ac:dyDescent="0.25">
      <c r="A11445" t="str">
        <f>"0611884435100"</f>
        <v>0611884435100</v>
      </c>
      <c r="B11445" t="str">
        <f>"LQ3937"</f>
        <v>LQ3937</v>
      </c>
      <c r="C11445" t="s">
        <v>11224</v>
      </c>
    </row>
    <row r="11446" spans="1:3" x14ac:dyDescent="0.25">
      <c r="A11446" t="str">
        <f>"0611838841025"</f>
        <v>0611838841025</v>
      </c>
      <c r="B11446" t="str">
        <f>"MQ0658"</f>
        <v>MQ0658</v>
      </c>
      <c r="C11446" t="s">
        <v>11225</v>
      </c>
    </row>
    <row r="11447" spans="1:3" x14ac:dyDescent="0.25">
      <c r="A11447" t="str">
        <f>"0611838842025"</f>
        <v>0611838842025</v>
      </c>
      <c r="B11447" t="str">
        <f>"MQ0659"</f>
        <v>MQ0659</v>
      </c>
      <c r="C11447" t="s">
        <v>11226</v>
      </c>
    </row>
    <row r="11448" spans="1:3" x14ac:dyDescent="0.25">
      <c r="A11448" t="str">
        <f>"0611838843025"</f>
        <v>0611838843025</v>
      </c>
      <c r="B11448" t="str">
        <f>"MQ6073"</f>
        <v>MQ6073</v>
      </c>
      <c r="C11448" t="s">
        <v>11227</v>
      </c>
    </row>
    <row r="11449" spans="1:3" x14ac:dyDescent="0.25">
      <c r="A11449" t="str">
        <f>"0611906938100"</f>
        <v>0611906938100</v>
      </c>
      <c r="B11449" t="str">
        <f>"LQ3987"</f>
        <v>LQ3987</v>
      </c>
      <c r="C11449" t="s">
        <v>11228</v>
      </c>
    </row>
    <row r="11450" spans="1:3" x14ac:dyDescent="0.25">
      <c r="A11450" t="str">
        <f>"0611838847025"</f>
        <v>0611838847025</v>
      </c>
      <c r="B11450" t="str">
        <f>"MC2068"</f>
        <v>MC2068</v>
      </c>
      <c r="C11450" t="s">
        <v>11229</v>
      </c>
    </row>
    <row r="11451" spans="1:3" x14ac:dyDescent="0.25">
      <c r="A11451" t="str">
        <f>"0611838848025"</f>
        <v>0611838848025</v>
      </c>
      <c r="B11451" t="str">
        <f>"MC4119"</f>
        <v>MC4119</v>
      </c>
      <c r="C11451" t="s">
        <v>11230</v>
      </c>
    </row>
    <row r="11452" spans="1:3" x14ac:dyDescent="0.25">
      <c r="A11452" t="str">
        <f>"0611838849100"</f>
        <v>0611838849100</v>
      </c>
      <c r="B11452" t="str">
        <f>"LC9151"</f>
        <v>LC9151</v>
      </c>
      <c r="C11452" t="s">
        <v>11160</v>
      </c>
    </row>
    <row r="11453" spans="1:3" x14ac:dyDescent="0.25">
      <c r="A11453" t="str">
        <f>"0611838850025"</f>
        <v>0611838850025</v>
      </c>
      <c r="B11453" t="str">
        <f>"MC4120"</f>
        <v>MC4120</v>
      </c>
      <c r="C11453" t="s">
        <v>11162</v>
      </c>
    </row>
    <row r="11454" spans="1:3" x14ac:dyDescent="0.25">
      <c r="A11454" t="str">
        <f>"0611884436025"</f>
        <v>0611884436025</v>
      </c>
      <c r="B11454" t="str">
        <f>"MC4503"</f>
        <v>MC4503</v>
      </c>
      <c r="C11454" t="s">
        <v>11231</v>
      </c>
    </row>
    <row r="11455" spans="1:3" x14ac:dyDescent="0.25">
      <c r="A11455" t="str">
        <f>"0611838851100"</f>
        <v>0611838851100</v>
      </c>
      <c r="B11455" t="str">
        <f>"LK6448"</f>
        <v>LK6448</v>
      </c>
      <c r="C11455" t="s">
        <v>11232</v>
      </c>
    </row>
    <row r="11456" spans="1:3" x14ac:dyDescent="0.25">
      <c r="A11456" t="str">
        <f>"0611863931050"</f>
        <v>0611863931050</v>
      </c>
      <c r="B11456" t="str">
        <f>"CR3007"</f>
        <v>CR3007</v>
      </c>
      <c r="C11456" t="s">
        <v>11240</v>
      </c>
    </row>
    <row r="11457" spans="1:3" x14ac:dyDescent="0.25">
      <c r="A11457" t="str">
        <f>"0611838852100"</f>
        <v>0611838852100</v>
      </c>
      <c r="B11457" t="str">
        <f>"LK5924"</f>
        <v>LK5924</v>
      </c>
      <c r="C11457" t="s">
        <v>11241</v>
      </c>
    </row>
    <row r="11458" spans="1:3" x14ac:dyDescent="0.25">
      <c r="A11458" t="str">
        <f>"0611838853025"</f>
        <v>0611838853025</v>
      </c>
      <c r="B11458" t="str">
        <f>"MC2063"</f>
        <v>MC2063</v>
      </c>
      <c r="C11458" t="s">
        <v>11242</v>
      </c>
    </row>
    <row r="11459" spans="1:3" x14ac:dyDescent="0.25">
      <c r="A11459" t="str">
        <f>"0611906939100"</f>
        <v>0611906939100</v>
      </c>
      <c r="B11459" t="str">
        <f>"LQ3988"</f>
        <v>LQ3988</v>
      </c>
      <c r="C11459" t="s">
        <v>11243</v>
      </c>
    </row>
    <row r="11460" spans="1:3" x14ac:dyDescent="0.25">
      <c r="A11460" t="str">
        <f>"0611838854100"</f>
        <v>0611838854100</v>
      </c>
      <c r="B11460" t="str">
        <f>"LK0950"</f>
        <v>LK0950</v>
      </c>
      <c r="C11460" t="s">
        <v>11233</v>
      </c>
    </row>
    <row r="11461" spans="1:3" x14ac:dyDescent="0.25">
      <c r="A11461" t="str">
        <f>"0611838855100"</f>
        <v>0611838855100</v>
      </c>
      <c r="B11461" t="str">
        <f>"LB8185"</f>
        <v>LB8185</v>
      </c>
      <c r="C11461" t="s">
        <v>11234</v>
      </c>
    </row>
    <row r="11462" spans="1:3" x14ac:dyDescent="0.25">
      <c r="A11462" t="str">
        <f>"0611838856025"</f>
        <v>0611838856025</v>
      </c>
      <c r="B11462" t="str">
        <f>"MQ7263"</f>
        <v>MQ7263</v>
      </c>
      <c r="C11462" t="s">
        <v>11235</v>
      </c>
    </row>
    <row r="11463" spans="1:3" x14ac:dyDescent="0.25">
      <c r="A11463" t="str">
        <f>"0611838857025"</f>
        <v>0611838857025</v>
      </c>
      <c r="B11463" t="str">
        <f>"MQ0451"</f>
        <v>MQ0451</v>
      </c>
      <c r="C11463" t="s">
        <v>11236</v>
      </c>
    </row>
    <row r="11464" spans="1:3" x14ac:dyDescent="0.25">
      <c r="A11464" t="str">
        <f>"0611863932100"</f>
        <v>0611863932100</v>
      </c>
      <c r="B11464" t="str">
        <f>"CN5358"</f>
        <v>CN5358</v>
      </c>
      <c r="C11464" t="s">
        <v>11244</v>
      </c>
    </row>
    <row r="11465" spans="1:3" x14ac:dyDescent="0.25">
      <c r="A11465" t="str">
        <f>"0611838858025"</f>
        <v>0611838858025</v>
      </c>
      <c r="B11465" t="str">
        <f>"MC0661"</f>
        <v>MC0661</v>
      </c>
      <c r="C11465" t="s">
        <v>11237</v>
      </c>
    </row>
    <row r="11466" spans="1:3" x14ac:dyDescent="0.25">
      <c r="A11466" t="str">
        <f>"0611863933100"</f>
        <v>0611863933100</v>
      </c>
      <c r="B11466" t="str">
        <f>"CN5359"</f>
        <v>CN5359</v>
      </c>
      <c r="C11466" t="s">
        <v>11245</v>
      </c>
    </row>
    <row r="11467" spans="1:3" x14ac:dyDescent="0.25">
      <c r="A11467" t="str">
        <f>"0611838859100"</f>
        <v>0611838859100</v>
      </c>
      <c r="B11467" t="str">
        <f>"LH7401"</f>
        <v>LH7401</v>
      </c>
      <c r="C11467" t="s">
        <v>11238</v>
      </c>
    </row>
    <row r="11468" spans="1:3" x14ac:dyDescent="0.25">
      <c r="A11468" t="str">
        <f>"0611838860025"</f>
        <v>0611838860025</v>
      </c>
      <c r="B11468" t="str">
        <f>"MC0662"</f>
        <v>MC0662</v>
      </c>
      <c r="C11468" t="s">
        <v>11239</v>
      </c>
    </row>
    <row r="11469" spans="1:3" x14ac:dyDescent="0.25">
      <c r="A11469" t="str">
        <f>"0611863935050"</f>
        <v>0611863935050</v>
      </c>
      <c r="B11469" t="str">
        <f>"CR5013"</f>
        <v>CR5013</v>
      </c>
      <c r="C11469" t="s">
        <v>11246</v>
      </c>
    </row>
    <row r="11470" spans="1:3" x14ac:dyDescent="0.25">
      <c r="A11470" t="str">
        <f>"0611838861100"</f>
        <v>0611838861100</v>
      </c>
      <c r="B11470" t="str">
        <f>"LB8172"</f>
        <v>LB8172</v>
      </c>
      <c r="C11470" t="s">
        <v>11247</v>
      </c>
    </row>
    <row r="11471" spans="1:3" x14ac:dyDescent="0.25">
      <c r="A11471" t="str">
        <f>"0611838862100"</f>
        <v>0611838862100</v>
      </c>
      <c r="B11471" t="str">
        <f>"LB8175"</f>
        <v>LB8175</v>
      </c>
      <c r="C11471" t="s">
        <v>11248</v>
      </c>
    </row>
    <row r="11472" spans="1:3" x14ac:dyDescent="0.25">
      <c r="A11472" t="str">
        <f>"0611906940025"</f>
        <v>0611906940025</v>
      </c>
      <c r="B11472" t="str">
        <f>"MQ7609"</f>
        <v>MQ7609</v>
      </c>
      <c r="C11472" t="s">
        <v>11249</v>
      </c>
    </row>
    <row r="11473" spans="1:3" x14ac:dyDescent="0.25">
      <c r="A11473" t="str">
        <f>"0611838863025"</f>
        <v>0611838863025</v>
      </c>
      <c r="B11473" t="str">
        <f>"MQ0529"</f>
        <v>MQ0529</v>
      </c>
      <c r="C11473" t="s">
        <v>11250</v>
      </c>
    </row>
    <row r="11474" spans="1:3" x14ac:dyDescent="0.25">
      <c r="A11474" t="str">
        <f>"0611838864025"</f>
        <v>0611838864025</v>
      </c>
      <c r="B11474" t="str">
        <f>"MQ5144"</f>
        <v>MQ5144</v>
      </c>
      <c r="C11474" t="s">
        <v>11251</v>
      </c>
    </row>
    <row r="11475" spans="1:3" x14ac:dyDescent="0.25">
      <c r="A11475" t="str">
        <f>"0611906941025"</f>
        <v>0611906941025</v>
      </c>
      <c r="B11475" t="str">
        <f>"MQ3037"</f>
        <v>MQ3037</v>
      </c>
      <c r="C11475" t="s">
        <v>11252</v>
      </c>
    </row>
    <row r="11476" spans="1:3" x14ac:dyDescent="0.25">
      <c r="A11476" t="str">
        <f>"0611838866025"</f>
        <v>0611838866025</v>
      </c>
      <c r="B11476" t="str">
        <f>"MQ3089"</f>
        <v>MQ3089</v>
      </c>
      <c r="C11476" t="s">
        <v>11253</v>
      </c>
    </row>
    <row r="11477" spans="1:3" x14ac:dyDescent="0.25">
      <c r="A11477" t="str">
        <f>"0611838867025"</f>
        <v>0611838867025</v>
      </c>
      <c r="B11477" t="str">
        <f>"MQ0530"</f>
        <v>MQ0530</v>
      </c>
      <c r="C11477" t="s">
        <v>11254</v>
      </c>
    </row>
    <row r="11478" spans="1:3" x14ac:dyDescent="0.25">
      <c r="A11478" t="str">
        <f>"0611838871100"</f>
        <v>0611838871100</v>
      </c>
      <c r="B11478" t="str">
        <f>"LQ3482"</f>
        <v>LQ3482</v>
      </c>
      <c r="C11478" t="s">
        <v>11255</v>
      </c>
    </row>
    <row r="11479" spans="1:3" x14ac:dyDescent="0.25">
      <c r="A11479" t="str">
        <f>"0611863936100"</f>
        <v>0611863936100</v>
      </c>
      <c r="B11479" t="str">
        <f>"CN5360"</f>
        <v>CN5360</v>
      </c>
      <c r="C11479" t="s">
        <v>11256</v>
      </c>
    </row>
    <row r="11480" spans="1:3" x14ac:dyDescent="0.25">
      <c r="A11480" t="str">
        <f>"0611838873025"</f>
        <v>0611838873025</v>
      </c>
      <c r="B11480" t="str">
        <f>"MC2558"</f>
        <v>MC2558</v>
      </c>
      <c r="C11480" t="s">
        <v>11257</v>
      </c>
    </row>
    <row r="11481" spans="1:3" x14ac:dyDescent="0.25">
      <c r="A11481" t="str">
        <f>"0611838874025"</f>
        <v>0611838874025</v>
      </c>
      <c r="B11481" t="str">
        <f>"MQ0732"</f>
        <v>MQ0732</v>
      </c>
      <c r="C11481" t="s">
        <v>11258</v>
      </c>
    </row>
    <row r="11482" spans="1:3" x14ac:dyDescent="0.25">
      <c r="A11482" t="str">
        <f>"0611863938100"</f>
        <v>0611863938100</v>
      </c>
      <c r="B11482" t="str">
        <f>"CN5361"</f>
        <v>CN5361</v>
      </c>
      <c r="C11482" t="s">
        <v>11259</v>
      </c>
    </row>
    <row r="11483" spans="1:3" x14ac:dyDescent="0.25">
      <c r="A11483" t="str">
        <f>"0611893662100"</f>
        <v>0611893662100</v>
      </c>
      <c r="B11483" t="str">
        <f>"CN5450"</f>
        <v>CN5450</v>
      </c>
      <c r="C11483" t="s">
        <v>11260</v>
      </c>
    </row>
    <row r="11484" spans="1:3" x14ac:dyDescent="0.25">
      <c r="A11484" t="str">
        <f>"0611838875025"</f>
        <v>0611838875025</v>
      </c>
      <c r="B11484" t="str">
        <f>"MC4328"</f>
        <v>MC4328</v>
      </c>
      <c r="C11484" t="s">
        <v>11261</v>
      </c>
    </row>
    <row r="11485" spans="1:3" x14ac:dyDescent="0.25">
      <c r="A11485" t="str">
        <f>"0611893663100"</f>
        <v>0611893663100</v>
      </c>
      <c r="B11485" t="str">
        <f>"CN5454"</f>
        <v>CN5454</v>
      </c>
      <c r="C11485" t="s">
        <v>11262</v>
      </c>
    </row>
    <row r="11486" spans="1:3" x14ac:dyDescent="0.25">
      <c r="A11486" t="str">
        <f>"0611838876025"</f>
        <v>0611838876025</v>
      </c>
      <c r="B11486" t="str">
        <f>"MC4326"</f>
        <v>MC4326</v>
      </c>
      <c r="C11486" t="s">
        <v>11263</v>
      </c>
    </row>
    <row r="11487" spans="1:3" x14ac:dyDescent="0.25">
      <c r="A11487" t="str">
        <f>"0611838877100"</f>
        <v>0611838877100</v>
      </c>
      <c r="B11487" t="str">
        <f>"LQ3863"</f>
        <v>LQ3863</v>
      </c>
      <c r="C11487" t="s">
        <v>11264</v>
      </c>
    </row>
    <row r="11488" spans="1:3" x14ac:dyDescent="0.25">
      <c r="A11488" t="str">
        <f>"0611838878100"</f>
        <v>0611838878100</v>
      </c>
      <c r="B11488" t="str">
        <f>"LQ3864"</f>
        <v>LQ3864</v>
      </c>
      <c r="C11488" t="s">
        <v>11265</v>
      </c>
    </row>
    <row r="11489" spans="1:3" x14ac:dyDescent="0.25">
      <c r="A11489" t="str">
        <f>"0611838879100"</f>
        <v>0611838879100</v>
      </c>
      <c r="B11489" t="str">
        <f>"LQ3865"</f>
        <v>LQ3865</v>
      </c>
      <c r="C11489" t="s">
        <v>11266</v>
      </c>
    </row>
    <row r="11490" spans="1:3" x14ac:dyDescent="0.25">
      <c r="A11490" t="str">
        <f>"0611884437100"</f>
        <v>0611884437100</v>
      </c>
      <c r="B11490" t="str">
        <f>"LQ3927"</f>
        <v>LQ3927</v>
      </c>
      <c r="C11490" t="s">
        <v>11267</v>
      </c>
    </row>
    <row r="11491" spans="1:3" x14ac:dyDescent="0.25">
      <c r="A11491" t="str">
        <f>"0611884438100"</f>
        <v>0611884438100</v>
      </c>
      <c r="B11491" t="str">
        <f>"LQ3928"</f>
        <v>LQ3928</v>
      </c>
      <c r="C11491" t="s">
        <v>11268</v>
      </c>
    </row>
    <row r="11492" spans="1:3" x14ac:dyDescent="0.25">
      <c r="A11492" t="str">
        <f>"0611884439100"</f>
        <v>0611884439100</v>
      </c>
      <c r="B11492" t="str">
        <f>"LQ3929"</f>
        <v>LQ3929</v>
      </c>
      <c r="C11492" t="s">
        <v>11269</v>
      </c>
    </row>
    <row r="11493" spans="1:3" x14ac:dyDescent="0.25">
      <c r="A11493" t="str">
        <f>"0611838880025"</f>
        <v>0611838880025</v>
      </c>
      <c r="B11493" t="str">
        <f>"MQ0733"</f>
        <v>MQ0733</v>
      </c>
      <c r="C11493" t="s">
        <v>11270</v>
      </c>
    </row>
    <row r="11494" spans="1:3" x14ac:dyDescent="0.25">
      <c r="A11494" t="str">
        <f>"0611884440100"</f>
        <v>0611884440100</v>
      </c>
      <c r="B11494" t="str">
        <f>"LQ3938"</f>
        <v>LQ3938</v>
      </c>
      <c r="C11494" t="s">
        <v>11271</v>
      </c>
    </row>
    <row r="11495" spans="1:3" x14ac:dyDescent="0.25">
      <c r="A11495" t="str">
        <f>"0611838881025"</f>
        <v>0611838881025</v>
      </c>
      <c r="B11495" t="str">
        <f>"MC3430"</f>
        <v>MC3430</v>
      </c>
      <c r="C11495" t="s">
        <v>11272</v>
      </c>
    </row>
    <row r="11496" spans="1:3" x14ac:dyDescent="0.25">
      <c r="A11496" t="str">
        <f>"0611838882025"</f>
        <v>0611838882025</v>
      </c>
      <c r="B11496" t="str">
        <f>"MC3431"</f>
        <v>MC3431</v>
      </c>
      <c r="C11496" t="s">
        <v>11273</v>
      </c>
    </row>
    <row r="11497" spans="1:3" x14ac:dyDescent="0.25">
      <c r="A11497" t="str">
        <f>"0611838883100"</f>
        <v>0611838883100</v>
      </c>
      <c r="B11497" t="str">
        <f>"LK5343"</f>
        <v>LK5343</v>
      </c>
      <c r="C11497" t="s">
        <v>11274</v>
      </c>
    </row>
    <row r="11498" spans="1:3" x14ac:dyDescent="0.25">
      <c r="A11498" t="str">
        <f>"0611838884100"</f>
        <v>0611838884100</v>
      </c>
      <c r="B11498" t="str">
        <f>"LK5347"</f>
        <v>LK5347</v>
      </c>
      <c r="C11498" t="s">
        <v>11275</v>
      </c>
    </row>
    <row r="11499" spans="1:3" x14ac:dyDescent="0.25">
      <c r="A11499" t="str">
        <f>"0611838885100"</f>
        <v>0611838885100</v>
      </c>
      <c r="B11499" t="str">
        <f>"LB8192"</f>
        <v>LB8192</v>
      </c>
      <c r="C11499" t="s">
        <v>11276</v>
      </c>
    </row>
    <row r="11500" spans="1:3" x14ac:dyDescent="0.25">
      <c r="A11500" t="str">
        <f>"0611838886100"</f>
        <v>0611838886100</v>
      </c>
      <c r="B11500" t="str">
        <f>"LB8205"</f>
        <v>LB8205</v>
      </c>
      <c r="C11500" t="s">
        <v>11277</v>
      </c>
    </row>
    <row r="11501" spans="1:3" x14ac:dyDescent="0.25">
      <c r="A11501" t="str">
        <f>"0611863939100"</f>
        <v>0611863939100</v>
      </c>
      <c r="B11501" t="str">
        <f>"CN5362"</f>
        <v>CN5362</v>
      </c>
      <c r="C11501" t="s">
        <v>11278</v>
      </c>
    </row>
    <row r="11502" spans="1:3" x14ac:dyDescent="0.25">
      <c r="A11502" t="str">
        <f>"0611838887025"</f>
        <v>0611838887025</v>
      </c>
      <c r="B11502" t="str">
        <f>"MC0663"</f>
        <v>MC0663</v>
      </c>
      <c r="C11502" t="s">
        <v>11279</v>
      </c>
    </row>
    <row r="11503" spans="1:3" x14ac:dyDescent="0.25">
      <c r="A11503" t="str">
        <f>"0611863940100"</f>
        <v>0611863940100</v>
      </c>
      <c r="B11503" t="str">
        <f>"CN5352"</f>
        <v>CN5352</v>
      </c>
      <c r="C11503" t="s">
        <v>11280</v>
      </c>
    </row>
    <row r="11504" spans="1:3" x14ac:dyDescent="0.25">
      <c r="A11504" t="str">
        <f>"0611838888025"</f>
        <v>0611838888025</v>
      </c>
      <c r="B11504" t="str">
        <f>"MQ0351"</f>
        <v>MQ0351</v>
      </c>
      <c r="C11504" t="s">
        <v>11281</v>
      </c>
    </row>
    <row r="11505" spans="1:3" x14ac:dyDescent="0.25">
      <c r="A11505" t="str">
        <f>"0611838889100"</f>
        <v>0611838889100</v>
      </c>
      <c r="B11505" t="str">
        <f>"LK2501"</f>
        <v>LK2501</v>
      </c>
      <c r="C11505" t="s">
        <v>11282</v>
      </c>
    </row>
    <row r="11506" spans="1:3" x14ac:dyDescent="0.25">
      <c r="A11506" t="str">
        <f>"0611838890100"</f>
        <v>0611838890100</v>
      </c>
      <c r="B11506" t="str">
        <f>"LK4896"</f>
        <v>LK4896</v>
      </c>
      <c r="C11506" t="s">
        <v>11283</v>
      </c>
    </row>
    <row r="11507" spans="1:3" x14ac:dyDescent="0.25">
      <c r="A11507" t="str">
        <f>"0611838891100"</f>
        <v>0611838891100</v>
      </c>
      <c r="B11507" t="str">
        <f>"LK3507"</f>
        <v>LK3507</v>
      </c>
      <c r="C11507" t="s">
        <v>11284</v>
      </c>
    </row>
    <row r="11508" spans="1:3" x14ac:dyDescent="0.25">
      <c r="A11508" t="str">
        <f>"0611838893100"</f>
        <v>0611838893100</v>
      </c>
      <c r="B11508" t="str">
        <f>"LK5350"</f>
        <v>LK5350</v>
      </c>
      <c r="C11508" t="s">
        <v>11285</v>
      </c>
    </row>
    <row r="11509" spans="1:3" x14ac:dyDescent="0.25">
      <c r="A11509" t="str">
        <f>"0611838894100"</f>
        <v>0611838894100</v>
      </c>
      <c r="B11509" t="str">
        <f>"LQ3727"</f>
        <v>LQ3727</v>
      </c>
      <c r="C11509" t="s">
        <v>11286</v>
      </c>
    </row>
    <row r="11510" spans="1:3" x14ac:dyDescent="0.25">
      <c r="A11510" t="str">
        <f>"0611838896100"</f>
        <v>0611838896100</v>
      </c>
      <c r="B11510" t="str">
        <f>"LB8277"</f>
        <v>LB8277</v>
      </c>
      <c r="C11510" t="s">
        <v>11287</v>
      </c>
    </row>
    <row r="11511" spans="1:3" x14ac:dyDescent="0.25">
      <c r="A11511" t="str">
        <f>"0611884441100"</f>
        <v>0611884441100</v>
      </c>
      <c r="B11511" t="str">
        <f>"LK7177"</f>
        <v>LK7177</v>
      </c>
      <c r="C11511" t="s">
        <v>11288</v>
      </c>
    </row>
    <row r="11512" spans="1:3" x14ac:dyDescent="0.25">
      <c r="A11512" t="str">
        <f>"0611838897025"</f>
        <v>0611838897025</v>
      </c>
      <c r="B11512" t="str">
        <f>"MC4232"</f>
        <v>MC4232</v>
      </c>
      <c r="C11512" t="s">
        <v>11289</v>
      </c>
    </row>
    <row r="11513" spans="1:3" x14ac:dyDescent="0.25">
      <c r="A11513" t="str">
        <f>"0611863941050"</f>
        <v>0611863941050</v>
      </c>
      <c r="B11513" t="str">
        <f>"CR4452"</f>
        <v>CR4452</v>
      </c>
      <c r="C11513" t="s">
        <v>11290</v>
      </c>
    </row>
    <row r="11514" spans="1:3" x14ac:dyDescent="0.25">
      <c r="A11514" t="str">
        <f>"0611838898100"</f>
        <v>0611838898100</v>
      </c>
      <c r="B11514" t="str">
        <f>"LC9160"</f>
        <v>LC9160</v>
      </c>
      <c r="C11514" t="s">
        <v>11291</v>
      </c>
    </row>
    <row r="11515" spans="1:3" x14ac:dyDescent="0.25">
      <c r="A11515" t="str">
        <f>"0611838899100"</f>
        <v>0611838899100</v>
      </c>
      <c r="B11515" t="str">
        <f>"LC9159"</f>
        <v>LC9159</v>
      </c>
      <c r="C11515" t="s">
        <v>11292</v>
      </c>
    </row>
    <row r="11516" spans="1:3" x14ac:dyDescent="0.25">
      <c r="A11516" t="str">
        <f>"0611838900100"</f>
        <v>0611838900100</v>
      </c>
      <c r="B11516" t="str">
        <f>"LC9150"</f>
        <v>LC9150</v>
      </c>
      <c r="C11516" t="s">
        <v>11293</v>
      </c>
    </row>
    <row r="11517" spans="1:3" x14ac:dyDescent="0.25">
      <c r="A11517" t="str">
        <f>"0611838901200"</f>
        <v>0611838901200</v>
      </c>
      <c r="B11517" t="str">
        <f>"KP9150"</f>
        <v>KP9150</v>
      </c>
      <c r="C11517" t="s">
        <v>11294</v>
      </c>
    </row>
    <row r="11518" spans="1:3" x14ac:dyDescent="0.25">
      <c r="A11518" t="str">
        <f>"0611838902025"</f>
        <v>0611838902025</v>
      </c>
      <c r="B11518" t="str">
        <f>"MC1355"</f>
        <v>MC1355</v>
      </c>
      <c r="C11518" t="s">
        <v>11295</v>
      </c>
    </row>
    <row r="11519" spans="1:3" x14ac:dyDescent="0.25">
      <c r="A11519" t="str">
        <f>"0611906942100"</f>
        <v>0611906942100</v>
      </c>
      <c r="B11519" t="str">
        <f>"LQ3989"</f>
        <v>LQ3989</v>
      </c>
      <c r="C11519" t="s">
        <v>11297</v>
      </c>
    </row>
    <row r="11520" spans="1:3" x14ac:dyDescent="0.25">
      <c r="A11520" t="str">
        <f>"0611838905100"</f>
        <v>0611838905100</v>
      </c>
      <c r="B11520" t="str">
        <f>"LQ3775"</f>
        <v>LQ3775</v>
      </c>
      <c r="C11520" t="s">
        <v>11298</v>
      </c>
    </row>
    <row r="11521" spans="1:3" x14ac:dyDescent="0.25">
      <c r="A11521" t="str">
        <f>"0611838906025"</f>
        <v>0611838906025</v>
      </c>
      <c r="B11521" t="str">
        <f>"MC4329"</f>
        <v>MC4329</v>
      </c>
      <c r="C11521" t="s">
        <v>11299</v>
      </c>
    </row>
    <row r="11522" spans="1:3" x14ac:dyDescent="0.25">
      <c r="A11522" t="str">
        <f>"0611838903025"</f>
        <v>0611838903025</v>
      </c>
      <c r="B11522" t="str">
        <f>"MC3800"</f>
        <v>MC3800</v>
      </c>
      <c r="C11522" t="s">
        <v>11300</v>
      </c>
    </row>
    <row r="11523" spans="1:3" x14ac:dyDescent="0.25">
      <c r="A11523" t="str">
        <f>"0611838907100"</f>
        <v>0611838907100</v>
      </c>
      <c r="B11523" t="str">
        <f>"LC3402"</f>
        <v>LC3402</v>
      </c>
      <c r="C11523" t="s">
        <v>11301</v>
      </c>
    </row>
    <row r="11524" spans="1:3" x14ac:dyDescent="0.25">
      <c r="A11524" t="str">
        <f>"0611884442100"</f>
        <v>0611884442100</v>
      </c>
      <c r="B11524" t="str">
        <f>"LK6342"</f>
        <v>LK6342</v>
      </c>
      <c r="C11524" t="s">
        <v>11302</v>
      </c>
    </row>
    <row r="11525" spans="1:3" x14ac:dyDescent="0.25">
      <c r="A11525" t="str">
        <f>"0611863942050"</f>
        <v>0611863942050</v>
      </c>
      <c r="B11525" t="str">
        <f>"CR3033"</f>
        <v>CR3033</v>
      </c>
      <c r="C11525" t="s">
        <v>11303</v>
      </c>
    </row>
    <row r="11526" spans="1:3" x14ac:dyDescent="0.25">
      <c r="A11526" t="str">
        <f>"0611863943050"</f>
        <v>0611863943050</v>
      </c>
      <c r="B11526" t="str">
        <f>"CR3009"</f>
        <v>CR3009</v>
      </c>
      <c r="C11526" t="s">
        <v>11304</v>
      </c>
    </row>
    <row r="11527" spans="1:3" x14ac:dyDescent="0.25">
      <c r="A11527" t="str">
        <f>"0611863944050"</f>
        <v>0611863944050</v>
      </c>
      <c r="B11527" t="str">
        <f>"CR3563"</f>
        <v>CR3563</v>
      </c>
      <c r="C11527" t="s">
        <v>11305</v>
      </c>
    </row>
    <row r="11528" spans="1:3" x14ac:dyDescent="0.25">
      <c r="A11528" t="str">
        <f>"0611863945050"</f>
        <v>0611863945050</v>
      </c>
      <c r="B11528" t="str">
        <f>"CR3010"</f>
        <v>CR3010</v>
      </c>
      <c r="C11528" t="s">
        <v>11306</v>
      </c>
    </row>
    <row r="11529" spans="1:3" x14ac:dyDescent="0.25">
      <c r="A11529" t="str">
        <f>"0611863946050"</f>
        <v>0611863946050</v>
      </c>
      <c r="B11529" t="str">
        <f>"CR3257"</f>
        <v>CR3257</v>
      </c>
      <c r="C11529" t="s">
        <v>11307</v>
      </c>
    </row>
    <row r="11530" spans="1:3" x14ac:dyDescent="0.25">
      <c r="A11530" t="str">
        <f>"0611863947050"</f>
        <v>0611863947050</v>
      </c>
      <c r="B11530" t="str">
        <f>"CR3012"</f>
        <v>CR3012</v>
      </c>
      <c r="C11530" t="s">
        <v>11308</v>
      </c>
    </row>
    <row r="11531" spans="1:3" x14ac:dyDescent="0.25">
      <c r="A11531" t="str">
        <f>"0611884443025"</f>
        <v>0611884443025</v>
      </c>
      <c r="B11531" t="str">
        <f>"MC2329"</f>
        <v>MC2329</v>
      </c>
      <c r="C11531" t="s">
        <v>11309</v>
      </c>
    </row>
    <row r="11532" spans="1:3" x14ac:dyDescent="0.25">
      <c r="A11532" t="str">
        <f>"0611838913100"</f>
        <v>0611838913100</v>
      </c>
      <c r="B11532" t="str">
        <f>"LQ5981"</f>
        <v>LQ5981</v>
      </c>
      <c r="C11532" t="s">
        <v>11310</v>
      </c>
    </row>
    <row r="11533" spans="1:3" x14ac:dyDescent="0.25">
      <c r="A11533" t="str">
        <f>"0611838914025"</f>
        <v>0611838914025</v>
      </c>
      <c r="B11533" t="str">
        <f>"MC4233"</f>
        <v>MC4233</v>
      </c>
      <c r="C11533" t="s">
        <v>11311</v>
      </c>
    </row>
    <row r="11534" spans="1:3" x14ac:dyDescent="0.25">
      <c r="A11534" t="str">
        <f>"0611863948050"</f>
        <v>0611863948050</v>
      </c>
      <c r="B11534" t="str">
        <f>"CR3013"</f>
        <v>CR3013</v>
      </c>
      <c r="C11534" t="s">
        <v>11312</v>
      </c>
    </row>
    <row r="11535" spans="1:3" x14ac:dyDescent="0.25">
      <c r="A11535" t="str">
        <f>"0611838919100"</f>
        <v>0611838919100</v>
      </c>
      <c r="B11535" t="str">
        <f>"LK1505"</f>
        <v>LK1505</v>
      </c>
      <c r="C11535" t="s">
        <v>11313</v>
      </c>
    </row>
    <row r="11536" spans="1:3" x14ac:dyDescent="0.25">
      <c r="A11536" t="str">
        <f>"0611838920100"</f>
        <v>0611838920100</v>
      </c>
      <c r="B11536" t="str">
        <f>"LK1756"</f>
        <v>LK1756</v>
      </c>
      <c r="C11536" t="s">
        <v>11314</v>
      </c>
    </row>
    <row r="11537" spans="1:3" x14ac:dyDescent="0.25">
      <c r="A11537" t="str">
        <f>"0611838921100"</f>
        <v>0611838921100</v>
      </c>
      <c r="B11537" t="str">
        <f>"LK1506"</f>
        <v>LK1506</v>
      </c>
      <c r="C11537" t="s">
        <v>11315</v>
      </c>
    </row>
    <row r="11538" spans="1:3" x14ac:dyDescent="0.25">
      <c r="A11538" t="str">
        <f>"0611838922100"</f>
        <v>0611838922100</v>
      </c>
      <c r="B11538" t="str">
        <f>"LK1507"</f>
        <v>LK1507</v>
      </c>
      <c r="C11538" t="s">
        <v>11316</v>
      </c>
    </row>
    <row r="11539" spans="1:3" x14ac:dyDescent="0.25">
      <c r="A11539" t="str">
        <f>"0611884444100"</f>
        <v>0611884444100</v>
      </c>
      <c r="B11539" t="str">
        <f>"LK7144"</f>
        <v>LK7144</v>
      </c>
      <c r="C11539" t="s">
        <v>11317</v>
      </c>
    </row>
    <row r="11540" spans="1:3" x14ac:dyDescent="0.25">
      <c r="A11540" t="str">
        <f>"0611884445050"</f>
        <v>0611884445050</v>
      </c>
      <c r="B11540" t="str">
        <f>"CR5397"</f>
        <v>CR5397</v>
      </c>
      <c r="C11540" t="s">
        <v>11318</v>
      </c>
    </row>
    <row r="11541" spans="1:3" x14ac:dyDescent="0.25">
      <c r="A11541" t="str">
        <f>"0611863949050"</f>
        <v>0611863949050</v>
      </c>
      <c r="B11541" t="str">
        <f>"CR3564"</f>
        <v>CR3564</v>
      </c>
      <c r="C11541" t="s">
        <v>11319</v>
      </c>
    </row>
    <row r="11542" spans="1:3" x14ac:dyDescent="0.25">
      <c r="A11542" t="str">
        <f>"0611884446050"</f>
        <v>0611884446050</v>
      </c>
      <c r="B11542" t="str">
        <f>"CR5398"</f>
        <v>CR5398</v>
      </c>
      <c r="C11542" t="s">
        <v>11320</v>
      </c>
    </row>
    <row r="11543" spans="1:3" x14ac:dyDescent="0.25">
      <c r="A11543" t="str">
        <f>"0611863950050"</f>
        <v>0611863950050</v>
      </c>
      <c r="B11543" t="str">
        <f>"CR3565"</f>
        <v>CR3565</v>
      </c>
      <c r="C11543" t="s">
        <v>11321</v>
      </c>
    </row>
    <row r="11544" spans="1:3" x14ac:dyDescent="0.25">
      <c r="A11544" t="str">
        <f>"0611863951050"</f>
        <v>0611863951050</v>
      </c>
      <c r="B11544" t="str">
        <f>"CR3566"</f>
        <v>CR3566</v>
      </c>
      <c r="C11544" t="s">
        <v>11322</v>
      </c>
    </row>
    <row r="11545" spans="1:3" x14ac:dyDescent="0.25">
      <c r="A11545" t="str">
        <f>"0611838923100"</f>
        <v>0611838923100</v>
      </c>
      <c r="B11545" t="str">
        <f>"LC9153"</f>
        <v>LC9153</v>
      </c>
      <c r="C11545" t="s">
        <v>11323</v>
      </c>
    </row>
    <row r="11546" spans="1:3" x14ac:dyDescent="0.25">
      <c r="A11546" t="str">
        <f>"0611838924025"</f>
        <v>0611838924025</v>
      </c>
      <c r="B11546" t="str">
        <f>"MC0959"</f>
        <v>MC0959</v>
      </c>
      <c r="C11546" t="s">
        <v>11324</v>
      </c>
    </row>
    <row r="11547" spans="1:3" x14ac:dyDescent="0.25">
      <c r="A11547" t="str">
        <f>"0611863952050"</f>
        <v>0611863952050</v>
      </c>
      <c r="B11547" t="str">
        <f>"CR4450"</f>
        <v>CR4450</v>
      </c>
      <c r="C11547" t="s">
        <v>11325</v>
      </c>
    </row>
    <row r="11548" spans="1:3" x14ac:dyDescent="0.25">
      <c r="A11548" t="str">
        <f>"0611838927025"</f>
        <v>0611838927025</v>
      </c>
      <c r="B11548" t="str">
        <f>"MQ0734"</f>
        <v>MQ0734</v>
      </c>
      <c r="C11548" t="s">
        <v>11326</v>
      </c>
    </row>
    <row r="11549" spans="1:3" x14ac:dyDescent="0.25">
      <c r="A11549" t="str">
        <f>"0611838928025"</f>
        <v>0611838928025</v>
      </c>
      <c r="B11549" t="str">
        <f>"MQ0581"</f>
        <v>MQ0581</v>
      </c>
      <c r="C11549" t="s">
        <v>11327</v>
      </c>
    </row>
    <row r="11550" spans="1:3" x14ac:dyDescent="0.25">
      <c r="A11550" t="str">
        <f>"0611838929100"</f>
        <v>0611838929100</v>
      </c>
      <c r="B11550" t="str">
        <f>"LB8164"</f>
        <v>LB8164</v>
      </c>
      <c r="C11550" t="s">
        <v>11328</v>
      </c>
    </row>
    <row r="11551" spans="1:3" x14ac:dyDescent="0.25">
      <c r="A11551" t="str">
        <f>"0611838930100"</f>
        <v>0611838930100</v>
      </c>
      <c r="B11551" t="str">
        <f>"LK6846"</f>
        <v>LK6846</v>
      </c>
      <c r="C11551" t="s">
        <v>11329</v>
      </c>
    </row>
    <row r="11552" spans="1:3" x14ac:dyDescent="0.25">
      <c r="A11552" t="str">
        <f>"0611838931100"</f>
        <v>0611838931100</v>
      </c>
      <c r="B11552" t="str">
        <f>"LH0045"</f>
        <v>LH0045</v>
      </c>
      <c r="C11552" t="s">
        <v>11330</v>
      </c>
    </row>
    <row r="11553" spans="1:3" x14ac:dyDescent="0.25">
      <c r="A11553" t="str">
        <f>"0611838932100"</f>
        <v>0611838932100</v>
      </c>
      <c r="B11553" t="str">
        <f>"LK2394"</f>
        <v>LK2394</v>
      </c>
      <c r="C11553" t="s">
        <v>11331</v>
      </c>
    </row>
    <row r="11554" spans="1:3" x14ac:dyDescent="0.25">
      <c r="A11554" t="str">
        <f>"0611838933100"</f>
        <v>0611838933100</v>
      </c>
      <c r="B11554" t="str">
        <f>"LK6136"</f>
        <v>LK6136</v>
      </c>
      <c r="C11554" t="s">
        <v>11332</v>
      </c>
    </row>
    <row r="11555" spans="1:3" x14ac:dyDescent="0.25">
      <c r="A11555" t="str">
        <f>"0611863953050"</f>
        <v>0611863953050</v>
      </c>
      <c r="B11555" t="str">
        <f>"CR3567"</f>
        <v>CR3567</v>
      </c>
      <c r="C11555" t="s">
        <v>11333</v>
      </c>
    </row>
    <row r="11556" spans="1:3" x14ac:dyDescent="0.25">
      <c r="A11556" t="str">
        <f>"0611838935025"</f>
        <v>0611838935025</v>
      </c>
      <c r="B11556" t="str">
        <f>"MQ0355"</f>
        <v>MQ0355</v>
      </c>
      <c r="C11556" t="s">
        <v>11334</v>
      </c>
    </row>
    <row r="11557" spans="1:3" x14ac:dyDescent="0.25">
      <c r="A11557" t="str">
        <f>"0611838936025"</f>
        <v>0611838936025</v>
      </c>
      <c r="B11557" t="str">
        <f>"MQ3187"</f>
        <v>MQ3187</v>
      </c>
      <c r="C11557" t="s">
        <v>11335</v>
      </c>
    </row>
    <row r="11558" spans="1:3" x14ac:dyDescent="0.25">
      <c r="A11558" t="str">
        <f>"0611838937025"</f>
        <v>0611838937025</v>
      </c>
      <c r="B11558" t="str">
        <f>"MQ3188"</f>
        <v>MQ3188</v>
      </c>
      <c r="C11558" t="s">
        <v>11336</v>
      </c>
    </row>
    <row r="11559" spans="1:3" x14ac:dyDescent="0.25">
      <c r="A11559" t="str">
        <f>"0611838938025"</f>
        <v>0611838938025</v>
      </c>
      <c r="B11559" t="str">
        <f>"MQ3189"</f>
        <v>MQ3189</v>
      </c>
      <c r="C11559" t="s">
        <v>11337</v>
      </c>
    </row>
    <row r="11560" spans="1:3" x14ac:dyDescent="0.25">
      <c r="A11560" t="str">
        <f>"0611838939025"</f>
        <v>0611838939025</v>
      </c>
      <c r="B11560" t="str">
        <f>"MQ3190"</f>
        <v>MQ3190</v>
      </c>
      <c r="C11560" t="s">
        <v>11338</v>
      </c>
    </row>
    <row r="11561" spans="1:3" x14ac:dyDescent="0.25">
      <c r="A11561" t="str">
        <f>"0611838940100"</f>
        <v>0611838940100</v>
      </c>
      <c r="B11561" t="str">
        <f>"LB8189"</f>
        <v>LB8189</v>
      </c>
      <c r="C11561" t="s">
        <v>11339</v>
      </c>
    </row>
    <row r="11562" spans="1:3" x14ac:dyDescent="0.25">
      <c r="A11562" t="str">
        <f>"0611863954100"</f>
        <v>0611863954100</v>
      </c>
      <c r="B11562" t="str">
        <f>"CN5363"</f>
        <v>CN5363</v>
      </c>
      <c r="C11562" t="s">
        <v>11340</v>
      </c>
    </row>
    <row r="11563" spans="1:3" x14ac:dyDescent="0.25">
      <c r="A11563" t="str">
        <f>"0611838942025"</f>
        <v>0611838942025</v>
      </c>
      <c r="B11563" t="str">
        <f>"MC2622"</f>
        <v>MC2622</v>
      </c>
      <c r="C11563" t="s">
        <v>11341</v>
      </c>
    </row>
    <row r="11564" spans="1:3" x14ac:dyDescent="0.25">
      <c r="A11564" t="str">
        <f>"0611838943025"</f>
        <v>0611838943025</v>
      </c>
      <c r="B11564" t="str">
        <f>"MQ0356"</f>
        <v>MQ0356</v>
      </c>
      <c r="C11564" t="s">
        <v>11342</v>
      </c>
    </row>
    <row r="11565" spans="1:3" x14ac:dyDescent="0.25">
      <c r="A11565" t="str">
        <f>"0611838944025"</f>
        <v>0611838944025</v>
      </c>
      <c r="B11565" t="str">
        <f>"MQ0357"</f>
        <v>MQ0357</v>
      </c>
      <c r="C11565" t="s">
        <v>11343</v>
      </c>
    </row>
    <row r="11566" spans="1:3" x14ac:dyDescent="0.25">
      <c r="A11566" t="str">
        <f>"0611838945025"</f>
        <v>0611838945025</v>
      </c>
      <c r="B11566" t="str">
        <f>"MQ0454"</f>
        <v>MQ0454</v>
      </c>
      <c r="C11566" t="s">
        <v>11344</v>
      </c>
    </row>
    <row r="11567" spans="1:3" x14ac:dyDescent="0.25">
      <c r="A11567" t="str">
        <f>"0611863955100"</f>
        <v>0611863955100</v>
      </c>
      <c r="B11567" t="str">
        <f>"CN5371"</f>
        <v>CN5371</v>
      </c>
      <c r="C11567" t="s">
        <v>11345</v>
      </c>
    </row>
    <row r="11568" spans="1:3" x14ac:dyDescent="0.25">
      <c r="A11568" t="str">
        <f>"0611838946025"</f>
        <v>0611838946025</v>
      </c>
      <c r="B11568" t="str">
        <f>"MC0664"</f>
        <v>MC0664</v>
      </c>
      <c r="C11568" t="s">
        <v>11346</v>
      </c>
    </row>
    <row r="11569" spans="1:3" x14ac:dyDescent="0.25">
      <c r="A11569" t="str">
        <f>"0611863956050"</f>
        <v>0611863956050</v>
      </c>
      <c r="B11569" t="str">
        <f>"CR4454"</f>
        <v>CR4454</v>
      </c>
      <c r="C11569" t="s">
        <v>11347</v>
      </c>
    </row>
    <row r="11570" spans="1:3" x14ac:dyDescent="0.25">
      <c r="A11570" t="str">
        <f>"0611838947100"</f>
        <v>0611838947100</v>
      </c>
      <c r="B11570" t="str">
        <f>"LB8301"</f>
        <v>LB8301</v>
      </c>
      <c r="C11570" t="s">
        <v>11348</v>
      </c>
    </row>
    <row r="11571" spans="1:3" x14ac:dyDescent="0.25">
      <c r="A11571" t="str">
        <f>"0611838948025"</f>
        <v>0611838948025</v>
      </c>
      <c r="B11571" t="str">
        <f>"MC2775"</f>
        <v>MC2775</v>
      </c>
      <c r="C11571" t="s">
        <v>11349</v>
      </c>
    </row>
    <row r="11572" spans="1:3" x14ac:dyDescent="0.25">
      <c r="A11572" t="str">
        <f>"0611838949025"</f>
        <v>0611838949025</v>
      </c>
      <c r="B11572" t="str">
        <f>"MC3200"</f>
        <v>MC3200</v>
      </c>
      <c r="C11572" t="s">
        <v>11350</v>
      </c>
    </row>
    <row r="11573" spans="1:3" x14ac:dyDescent="0.25">
      <c r="A11573" t="str">
        <f>"0611838950100"</f>
        <v>0611838950100</v>
      </c>
      <c r="B11573" t="str">
        <f>"LC9154"</f>
        <v>LC9154</v>
      </c>
      <c r="C11573" t="s">
        <v>11351</v>
      </c>
    </row>
    <row r="11574" spans="1:3" x14ac:dyDescent="0.25">
      <c r="A11574" t="str">
        <f>"0611838951100"</f>
        <v>0611838951100</v>
      </c>
      <c r="B11574" t="str">
        <f>"LH7418"</f>
        <v>LH7418</v>
      </c>
      <c r="C11574" t="s">
        <v>11352</v>
      </c>
    </row>
    <row r="11575" spans="1:3" x14ac:dyDescent="0.25">
      <c r="A11575" t="str">
        <f>"0611838952025"</f>
        <v>0611838952025</v>
      </c>
      <c r="B11575" t="str">
        <f>"MC1354"</f>
        <v>MC1354</v>
      </c>
      <c r="C11575" t="s">
        <v>11353</v>
      </c>
    </row>
    <row r="11576" spans="1:3" x14ac:dyDescent="0.25">
      <c r="A11576" t="str">
        <f>"0611863957100"</f>
        <v>0611863957100</v>
      </c>
      <c r="B11576" t="str">
        <f>"CN5364"</f>
        <v>CN5364</v>
      </c>
      <c r="C11576" t="s">
        <v>11354</v>
      </c>
    </row>
    <row r="11577" spans="1:3" x14ac:dyDescent="0.25">
      <c r="A11577" t="str">
        <f>"0611863958100"</f>
        <v>0611863958100</v>
      </c>
      <c r="B11577" t="str">
        <f>"CN5365"</f>
        <v>CN5365</v>
      </c>
      <c r="C11577" t="s">
        <v>11355</v>
      </c>
    </row>
    <row r="11578" spans="1:3" x14ac:dyDescent="0.25">
      <c r="A11578" t="str">
        <f>"0611838953025"</f>
        <v>0611838953025</v>
      </c>
      <c r="B11578" t="str">
        <f>"MQ0660"</f>
        <v>MQ0660</v>
      </c>
      <c r="C11578" t="s">
        <v>11356</v>
      </c>
    </row>
    <row r="11579" spans="1:3" x14ac:dyDescent="0.25">
      <c r="A11579" t="str">
        <f>"0611838954025"</f>
        <v>0611838954025</v>
      </c>
      <c r="B11579" t="str">
        <f>"MQ3191"</f>
        <v>MQ3191</v>
      </c>
      <c r="C11579" t="s">
        <v>11357</v>
      </c>
    </row>
    <row r="11580" spans="1:3" x14ac:dyDescent="0.25">
      <c r="A11580" t="str">
        <f>"0611838955025"</f>
        <v>0611838955025</v>
      </c>
      <c r="B11580" t="str">
        <f>"MQ3192"</f>
        <v>MQ3192</v>
      </c>
      <c r="C11580" t="s">
        <v>11358</v>
      </c>
    </row>
    <row r="11581" spans="1:3" x14ac:dyDescent="0.25">
      <c r="A11581" t="str">
        <f>"0611838956025"</f>
        <v>0611838956025</v>
      </c>
      <c r="B11581" t="str">
        <f>"MQ3194"</f>
        <v>MQ3194</v>
      </c>
      <c r="C11581" t="s">
        <v>11359</v>
      </c>
    </row>
    <row r="11582" spans="1:3" x14ac:dyDescent="0.25">
      <c r="A11582" t="str">
        <f>"0611838957025"</f>
        <v>0611838957025</v>
      </c>
      <c r="B11582" t="str">
        <f>"MQ3195"</f>
        <v>MQ3195</v>
      </c>
      <c r="C11582" t="s">
        <v>11360</v>
      </c>
    </row>
    <row r="11583" spans="1:3" x14ac:dyDescent="0.25">
      <c r="A11583" t="str">
        <f>"0611838958025"</f>
        <v>0611838958025</v>
      </c>
      <c r="B11583" t="str">
        <f>"MQ3196"</f>
        <v>MQ3196</v>
      </c>
      <c r="C11583" t="s">
        <v>11361</v>
      </c>
    </row>
    <row r="11584" spans="1:3" x14ac:dyDescent="0.25">
      <c r="A11584" t="str">
        <f>"0611838959025"</f>
        <v>0611838959025</v>
      </c>
      <c r="B11584" t="str">
        <f>"MQ0661"</f>
        <v>MQ0661</v>
      </c>
      <c r="C11584" t="s">
        <v>11362</v>
      </c>
    </row>
    <row r="11585" spans="1:3" x14ac:dyDescent="0.25">
      <c r="A11585" t="str">
        <f>"0611838960025"</f>
        <v>0611838960025</v>
      </c>
      <c r="B11585" t="str">
        <f>"MQ3197"</f>
        <v>MQ3197</v>
      </c>
      <c r="C11585" t="s">
        <v>11363</v>
      </c>
    </row>
    <row r="11586" spans="1:3" x14ac:dyDescent="0.25">
      <c r="A11586" t="str">
        <f>"0611838961025"</f>
        <v>0611838961025</v>
      </c>
      <c r="B11586" t="str">
        <f>"MQ0452"</f>
        <v>MQ0452</v>
      </c>
      <c r="C11586" t="s">
        <v>11364</v>
      </c>
    </row>
    <row r="11587" spans="1:3" x14ac:dyDescent="0.25">
      <c r="A11587" t="str">
        <f>"0611838963025"</f>
        <v>0611838963025</v>
      </c>
      <c r="B11587" t="str">
        <f>"MQ3199"</f>
        <v>MQ3199</v>
      </c>
      <c r="C11587" t="s">
        <v>11365</v>
      </c>
    </row>
    <row r="11588" spans="1:3" x14ac:dyDescent="0.25">
      <c r="A11588" t="str">
        <f>"0611838964025"</f>
        <v>0611838964025</v>
      </c>
      <c r="B11588" t="str">
        <f>"MQ0453"</f>
        <v>MQ0453</v>
      </c>
      <c r="C11588" t="s">
        <v>11366</v>
      </c>
    </row>
    <row r="11589" spans="1:3" x14ac:dyDescent="0.25">
      <c r="A11589" t="str">
        <f>"0611838965100"</f>
        <v>0611838965100</v>
      </c>
      <c r="B11589" t="str">
        <f>"LK6662"</f>
        <v>LK6662</v>
      </c>
      <c r="C11589" t="s">
        <v>11367</v>
      </c>
    </row>
    <row r="11590" spans="1:3" x14ac:dyDescent="0.25">
      <c r="A11590" t="str">
        <f>"0611838966100"</f>
        <v>0611838966100</v>
      </c>
      <c r="B11590" t="str">
        <f>"LK6663"</f>
        <v>LK6663</v>
      </c>
      <c r="C11590" t="s">
        <v>11368</v>
      </c>
    </row>
    <row r="11591" spans="1:3" x14ac:dyDescent="0.25">
      <c r="A11591" t="str">
        <f>"0611838967100"</f>
        <v>0611838967100</v>
      </c>
      <c r="B11591" t="str">
        <f>"LK3011"</f>
        <v>LK3011</v>
      </c>
      <c r="C11591" t="s">
        <v>11369</v>
      </c>
    </row>
    <row r="11592" spans="1:3" x14ac:dyDescent="0.25">
      <c r="A11592" t="str">
        <f>"0611838968100"</f>
        <v>0611838968100</v>
      </c>
      <c r="B11592" t="str">
        <f>"LK6664"</f>
        <v>LK6664</v>
      </c>
      <c r="C11592" t="s">
        <v>11370</v>
      </c>
    </row>
    <row r="11593" spans="1:3" x14ac:dyDescent="0.25">
      <c r="A11593" t="str">
        <f>"0611838969100"</f>
        <v>0611838969100</v>
      </c>
      <c r="B11593" t="str">
        <f>"LK6665"</f>
        <v>LK6665</v>
      </c>
      <c r="C11593" t="s">
        <v>11371</v>
      </c>
    </row>
    <row r="11594" spans="1:3" x14ac:dyDescent="0.25">
      <c r="A11594" t="str">
        <f>"0611838970100"</f>
        <v>0611838970100</v>
      </c>
      <c r="B11594" t="str">
        <f>"LK6666"</f>
        <v>LK6666</v>
      </c>
      <c r="C11594" t="s">
        <v>11372</v>
      </c>
    </row>
    <row r="11595" spans="1:3" x14ac:dyDescent="0.25">
      <c r="A11595" t="str">
        <f>"0611906943100"</f>
        <v>0611906943100</v>
      </c>
      <c r="B11595" t="str">
        <f>"LQ3990"</f>
        <v>LQ3990</v>
      </c>
      <c r="C11595" t="s">
        <v>11373</v>
      </c>
    </row>
    <row r="11596" spans="1:3" x14ac:dyDescent="0.25">
      <c r="A11596" t="str">
        <f>"0611838904025"</f>
        <v>0611838904025</v>
      </c>
      <c r="B11596" t="str">
        <f>"MC3801"</f>
        <v>MC3801</v>
      </c>
      <c r="C11596" t="s">
        <v>11374</v>
      </c>
    </row>
    <row r="11597" spans="1:3" x14ac:dyDescent="0.25">
      <c r="A11597" t="str">
        <f>"0611893664100"</f>
        <v>0611893664100</v>
      </c>
      <c r="B11597" t="str">
        <f>"CN5451"</f>
        <v>CN5451</v>
      </c>
      <c r="C11597" t="s">
        <v>11375</v>
      </c>
    </row>
    <row r="11598" spans="1:3" x14ac:dyDescent="0.25">
      <c r="A11598" t="str">
        <f>"0611893665100"</f>
        <v>0611893665100</v>
      </c>
      <c r="B11598" t="str">
        <f>"CN5453"</f>
        <v>CN5453</v>
      </c>
      <c r="C11598" t="s">
        <v>11376</v>
      </c>
    </row>
    <row r="11599" spans="1:3" x14ac:dyDescent="0.25">
      <c r="A11599" t="str">
        <f>"0611838971100"</f>
        <v>0611838971100</v>
      </c>
      <c r="B11599" t="str">
        <f>"LB8181"</f>
        <v>LB8181</v>
      </c>
      <c r="C11599" t="s">
        <v>11377</v>
      </c>
    </row>
    <row r="11600" spans="1:3" x14ac:dyDescent="0.25">
      <c r="A11600" t="str">
        <f>"0611838972100"</f>
        <v>0611838972100</v>
      </c>
      <c r="B11600" t="str">
        <f>"LB8182"</f>
        <v>LB8182</v>
      </c>
      <c r="C11600" t="s">
        <v>11378</v>
      </c>
    </row>
    <row r="11601" spans="1:3" x14ac:dyDescent="0.25">
      <c r="A11601" t="str">
        <f>"0611884447100"</f>
        <v>0611884447100</v>
      </c>
      <c r="B11601" t="str">
        <f>"LQ3939"</f>
        <v>LQ3939</v>
      </c>
      <c r="C11601" t="s">
        <v>11379</v>
      </c>
    </row>
    <row r="11602" spans="1:3" x14ac:dyDescent="0.25">
      <c r="A11602" t="str">
        <f>"0611838973100"</f>
        <v>0611838973100</v>
      </c>
      <c r="B11602" t="str">
        <f>"LK4032"</f>
        <v>LK4032</v>
      </c>
      <c r="C11602" t="s">
        <v>11380</v>
      </c>
    </row>
    <row r="11603" spans="1:3" x14ac:dyDescent="0.25">
      <c r="A11603" t="str">
        <f>"0611838974100"</f>
        <v>0611838974100</v>
      </c>
      <c r="B11603" t="str">
        <f>"LK4033"</f>
        <v>LK4033</v>
      </c>
      <c r="C11603" t="s">
        <v>11381</v>
      </c>
    </row>
    <row r="11604" spans="1:3" x14ac:dyDescent="0.25">
      <c r="A11604" t="str">
        <f>"0611838975100"</f>
        <v>0611838975100</v>
      </c>
      <c r="B11604" t="str">
        <f>"LH0046"</f>
        <v>LH0046</v>
      </c>
      <c r="C11604" t="s">
        <v>11382</v>
      </c>
    </row>
    <row r="11605" spans="1:3" x14ac:dyDescent="0.25">
      <c r="A11605" t="str">
        <f>"0611838976100"</f>
        <v>0611838976100</v>
      </c>
      <c r="B11605" t="str">
        <f>"LC9155"</f>
        <v>LC9155</v>
      </c>
      <c r="C11605" t="s">
        <v>11383</v>
      </c>
    </row>
    <row r="11606" spans="1:3" x14ac:dyDescent="0.25">
      <c r="A11606" t="str">
        <f>"0611838977025"</f>
        <v>0611838977025</v>
      </c>
      <c r="B11606" t="str">
        <f>"MC0813"</f>
        <v>MC0813</v>
      </c>
      <c r="C11606" t="s">
        <v>11384</v>
      </c>
    </row>
    <row r="11607" spans="1:3" x14ac:dyDescent="0.25">
      <c r="A11607" t="str">
        <f>"0611884448100"</f>
        <v>0611884448100</v>
      </c>
      <c r="B11607" t="str">
        <f>"LQ3940"</f>
        <v>LQ3940</v>
      </c>
      <c r="C11607" t="s">
        <v>11385</v>
      </c>
    </row>
    <row r="11608" spans="1:3" x14ac:dyDescent="0.25">
      <c r="A11608" t="str">
        <f>"0611884449025"</f>
        <v>0611884449025</v>
      </c>
      <c r="B11608" t="str">
        <f>"MQ0846"</f>
        <v>MQ0846</v>
      </c>
      <c r="C11608" t="s">
        <v>11386</v>
      </c>
    </row>
    <row r="11609" spans="1:3" x14ac:dyDescent="0.25">
      <c r="A11609" t="str">
        <f>"0611838979100"</f>
        <v>0611838979100</v>
      </c>
      <c r="B11609" t="str">
        <f>"LK6872"</f>
        <v>LK6872</v>
      </c>
      <c r="C11609" t="s">
        <v>11387</v>
      </c>
    </row>
    <row r="11610" spans="1:3" x14ac:dyDescent="0.25">
      <c r="A11610" t="str">
        <f>"0611906944100"</f>
        <v>0611906944100</v>
      </c>
      <c r="B11610" t="str">
        <f>"LQ3991"</f>
        <v>LQ3991</v>
      </c>
      <c r="C11610" t="s">
        <v>11388</v>
      </c>
    </row>
    <row r="11611" spans="1:3" x14ac:dyDescent="0.25">
      <c r="A11611" t="str">
        <f>"0611838981100"</f>
        <v>0611838981100</v>
      </c>
      <c r="B11611" t="str">
        <f>"LC9156"</f>
        <v>LC9156</v>
      </c>
      <c r="C11611" t="s">
        <v>11389</v>
      </c>
    </row>
    <row r="11612" spans="1:3" x14ac:dyDescent="0.25">
      <c r="A11612" t="str">
        <f>"0611838982025"</f>
        <v>0611838982025</v>
      </c>
      <c r="B11612" t="str">
        <f>"MC0814"</f>
        <v>MC0814</v>
      </c>
      <c r="C11612" t="s">
        <v>11390</v>
      </c>
    </row>
    <row r="11613" spans="1:3" x14ac:dyDescent="0.25">
      <c r="A11613" t="str">
        <f>"0611863959100"</f>
        <v>0611863959100</v>
      </c>
      <c r="B11613" t="str">
        <f>"CN5369"</f>
        <v>CN5369</v>
      </c>
      <c r="C11613" t="s">
        <v>11391</v>
      </c>
    </row>
    <row r="11614" spans="1:3" x14ac:dyDescent="0.25">
      <c r="A11614" t="str">
        <f>"0611838985100"</f>
        <v>0611838985100</v>
      </c>
      <c r="B11614" t="str">
        <f>"LH7417"</f>
        <v>LH7417</v>
      </c>
      <c r="C11614" t="s">
        <v>11392</v>
      </c>
    </row>
    <row r="11615" spans="1:3" x14ac:dyDescent="0.25">
      <c r="A11615" t="str">
        <f>"0611838986100"</f>
        <v>0611838986100</v>
      </c>
      <c r="B11615" t="str">
        <f>"LK3014"</f>
        <v>LK3014</v>
      </c>
      <c r="C11615" t="s">
        <v>11393</v>
      </c>
    </row>
    <row r="11616" spans="1:3" x14ac:dyDescent="0.25">
      <c r="A11616" t="str">
        <f>"0611857099100"</f>
        <v>0611857099100</v>
      </c>
      <c r="B11616" t="str">
        <f>"LK3663"</f>
        <v>LK3663</v>
      </c>
      <c r="C11616" t="s">
        <v>11394</v>
      </c>
    </row>
    <row r="11617" spans="1:3" x14ac:dyDescent="0.25">
      <c r="A11617" t="str">
        <f>"0611838988100"</f>
        <v>0611838988100</v>
      </c>
      <c r="B11617" t="str">
        <f>"LB8370"</f>
        <v>LB8370</v>
      </c>
      <c r="C11617" t="s">
        <v>11395</v>
      </c>
    </row>
    <row r="11618" spans="1:3" x14ac:dyDescent="0.25">
      <c r="A11618" t="str">
        <f>"0611838989100"</f>
        <v>0611838989100</v>
      </c>
      <c r="B11618" t="str">
        <f>"LH7400"</f>
        <v>LH7400</v>
      </c>
      <c r="C11618" t="s">
        <v>11396</v>
      </c>
    </row>
    <row r="11619" spans="1:3" x14ac:dyDescent="0.25">
      <c r="A11619" t="str">
        <f>"0611906945100"</f>
        <v>0611906945100</v>
      </c>
      <c r="B11619" t="str">
        <f>"LQ3952"</f>
        <v>LQ3952</v>
      </c>
      <c r="C11619" t="s">
        <v>11397</v>
      </c>
    </row>
    <row r="11620" spans="1:3" x14ac:dyDescent="0.25">
      <c r="A11620" t="str">
        <f>"0611838990100"</f>
        <v>0611838990100</v>
      </c>
      <c r="B11620" t="str">
        <f>"LQ6085"</f>
        <v>LQ6085</v>
      </c>
      <c r="C11620" t="s">
        <v>11398</v>
      </c>
    </row>
    <row r="11621" spans="1:3" x14ac:dyDescent="0.25">
      <c r="A11621" t="str">
        <f>"0611838992100"</f>
        <v>0611838992100</v>
      </c>
      <c r="B11621" t="str">
        <f>"LQ5475"</f>
        <v>LQ5475</v>
      </c>
      <c r="C11621" t="s">
        <v>11399</v>
      </c>
    </row>
    <row r="11622" spans="1:3" x14ac:dyDescent="0.25">
      <c r="A11622" t="str">
        <f>"0611838993100"</f>
        <v>0611838993100</v>
      </c>
      <c r="B11622" t="str">
        <f>"LQ6219"</f>
        <v>LQ6219</v>
      </c>
      <c r="C11622" t="s">
        <v>11400</v>
      </c>
    </row>
    <row r="11623" spans="1:3" x14ac:dyDescent="0.25">
      <c r="A11623" t="str">
        <f>"0611857100100"</f>
        <v>0611857100100</v>
      </c>
      <c r="B11623" t="str">
        <f>"LQ6283"</f>
        <v>LQ6283</v>
      </c>
      <c r="C11623" t="s">
        <v>11401</v>
      </c>
    </row>
    <row r="11624" spans="1:3" x14ac:dyDescent="0.25">
      <c r="A11624" t="str">
        <f>"0611838994100"</f>
        <v>0611838994100</v>
      </c>
      <c r="B11624" t="str">
        <f>"LQ5980"</f>
        <v>LQ5980</v>
      </c>
      <c r="C11624" t="s">
        <v>11402</v>
      </c>
    </row>
    <row r="11625" spans="1:3" x14ac:dyDescent="0.25">
      <c r="A11625" t="str">
        <f>"0611838995100"</f>
        <v>0611838995100</v>
      </c>
      <c r="B11625" t="str">
        <f>"LQ6247"</f>
        <v>LQ6247</v>
      </c>
      <c r="C11625" t="s">
        <v>11403</v>
      </c>
    </row>
    <row r="11626" spans="1:3" x14ac:dyDescent="0.25">
      <c r="A11626" t="str">
        <f>"0611838996100"</f>
        <v>0611838996100</v>
      </c>
      <c r="B11626" t="str">
        <f>"LQ0471"</f>
        <v>LQ0471</v>
      </c>
      <c r="C11626" t="s">
        <v>11404</v>
      </c>
    </row>
    <row r="11627" spans="1:3" x14ac:dyDescent="0.25">
      <c r="A11627" t="str">
        <f>"0611838997100"</f>
        <v>0611838997100</v>
      </c>
      <c r="B11627" t="str">
        <f>"LQ5901"</f>
        <v>LQ5901</v>
      </c>
      <c r="C11627" t="s">
        <v>11405</v>
      </c>
    </row>
    <row r="11628" spans="1:3" x14ac:dyDescent="0.25">
      <c r="A11628" t="str">
        <f>"0611838998100"</f>
        <v>0611838998100</v>
      </c>
      <c r="B11628" t="str">
        <f>"LQ6220"</f>
        <v>LQ6220</v>
      </c>
      <c r="C11628" t="s">
        <v>11406</v>
      </c>
    </row>
    <row r="11629" spans="1:3" x14ac:dyDescent="0.25">
      <c r="A11629" t="str">
        <f>"0611838999025"</f>
        <v>0611838999025</v>
      </c>
      <c r="B11629" t="str">
        <f>"MQ5118"</f>
        <v>MQ5118</v>
      </c>
      <c r="C11629" t="s">
        <v>11407</v>
      </c>
    </row>
    <row r="11630" spans="1:3" x14ac:dyDescent="0.25">
      <c r="A11630" t="str">
        <f>"0611839000025"</f>
        <v>0611839000025</v>
      </c>
      <c r="B11630" t="str">
        <f>"MQ5039"</f>
        <v>MQ5039</v>
      </c>
      <c r="C11630" t="s">
        <v>11408</v>
      </c>
    </row>
    <row r="11631" spans="1:3" x14ac:dyDescent="0.25">
      <c r="A11631" t="str">
        <f>"0611839001100"</f>
        <v>0611839001100</v>
      </c>
      <c r="B11631" t="str">
        <f>"LB8226"</f>
        <v>LB8226</v>
      </c>
      <c r="C11631" t="s">
        <v>11409</v>
      </c>
    </row>
    <row r="11632" spans="1:3" x14ac:dyDescent="0.25">
      <c r="A11632" t="str">
        <f>"0611839002100"</f>
        <v>0611839002100</v>
      </c>
      <c r="B11632" t="str">
        <f>"LB8256"</f>
        <v>LB8256</v>
      </c>
      <c r="C11632" t="s">
        <v>11410</v>
      </c>
    </row>
    <row r="11633" spans="1:3" x14ac:dyDescent="0.25">
      <c r="A11633" t="str">
        <f>"0611839003100"</f>
        <v>0611839003100</v>
      </c>
      <c r="B11633" t="str">
        <f>"LB8200"</f>
        <v>LB8200</v>
      </c>
      <c r="C11633" t="s">
        <v>11411</v>
      </c>
    </row>
    <row r="11634" spans="1:3" x14ac:dyDescent="0.25">
      <c r="A11634" t="str">
        <f>"0611863961100"</f>
        <v>0611863961100</v>
      </c>
      <c r="B11634" t="str">
        <f>"CN5353"</f>
        <v>CN5353</v>
      </c>
      <c r="C11634" t="s">
        <v>11412</v>
      </c>
    </row>
    <row r="11635" spans="1:3" x14ac:dyDescent="0.25">
      <c r="A11635" t="str">
        <f>"0611863962100"</f>
        <v>0611863962100</v>
      </c>
      <c r="B11635" t="str">
        <f>"CN5354"</f>
        <v>CN5354</v>
      </c>
      <c r="C11635" t="s">
        <v>11413</v>
      </c>
    </row>
    <row r="11636" spans="1:3" x14ac:dyDescent="0.25">
      <c r="A11636" t="str">
        <f>"0611863963050"</f>
        <v>0611863963050</v>
      </c>
      <c r="B11636" t="str">
        <f>"CR3834"</f>
        <v>CR3834</v>
      </c>
      <c r="C11636" t="s">
        <v>11414</v>
      </c>
    </row>
    <row r="11637" spans="1:3" x14ac:dyDescent="0.25">
      <c r="A11637" t="str">
        <f>"0611863964100"</f>
        <v>0611863964100</v>
      </c>
      <c r="B11637" t="str">
        <f>"CN5355"</f>
        <v>CN5355</v>
      </c>
      <c r="C11637" t="s">
        <v>11415</v>
      </c>
    </row>
    <row r="11638" spans="1:3" x14ac:dyDescent="0.25">
      <c r="A11638" t="str">
        <f>"0611863965100"</f>
        <v>0611863965100</v>
      </c>
      <c r="B11638" t="str">
        <f>"CN5356"</f>
        <v>CN5356</v>
      </c>
      <c r="C11638" t="s">
        <v>11416</v>
      </c>
    </row>
    <row r="11639" spans="1:3" x14ac:dyDescent="0.25">
      <c r="A11639" t="str">
        <f>"0611893666100"</f>
        <v>0611893666100</v>
      </c>
      <c r="B11639" t="str">
        <f>"CN5452"</f>
        <v>CN5452</v>
      </c>
      <c r="C11639" t="s">
        <v>11417</v>
      </c>
    </row>
    <row r="11640" spans="1:3" x14ac:dyDescent="0.25">
      <c r="A11640" t="str">
        <f>"0611863966050"</f>
        <v>0611863966050</v>
      </c>
      <c r="B11640" t="str">
        <f>"CR3837"</f>
        <v>CR3837</v>
      </c>
      <c r="C11640" t="s">
        <v>11418</v>
      </c>
    </row>
    <row r="11641" spans="1:3" x14ac:dyDescent="0.25">
      <c r="A11641" t="str">
        <f>"0611863967100"</f>
        <v>0611863967100</v>
      </c>
      <c r="B11641" t="str">
        <f>"CN5357"</f>
        <v>CN5357</v>
      </c>
      <c r="C11641" t="s">
        <v>11419</v>
      </c>
    </row>
    <row r="11642" spans="1:3" x14ac:dyDescent="0.25">
      <c r="A11642" t="str">
        <f>"0611839006025"</f>
        <v>0611839006025</v>
      </c>
      <c r="B11642" t="str">
        <f>"MC4320"</f>
        <v>MC4320</v>
      </c>
      <c r="C11642" t="s">
        <v>11420</v>
      </c>
    </row>
    <row r="11643" spans="1:3" x14ac:dyDescent="0.25">
      <c r="A11643" t="str">
        <f>"0611839007100"</f>
        <v>0611839007100</v>
      </c>
      <c r="B11643" t="str">
        <f>"LS0116"</f>
        <v>LS0116</v>
      </c>
      <c r="C11643" t="s">
        <v>11296</v>
      </c>
    </row>
    <row r="11644" spans="1:3" x14ac:dyDescent="0.25">
      <c r="A11644" t="str">
        <f>"0611839008100"</f>
        <v>0611839008100</v>
      </c>
      <c r="B11644" t="str">
        <f>"LQ6035"</f>
        <v>LQ6035</v>
      </c>
      <c r="C11644" t="s">
        <v>11421</v>
      </c>
    </row>
    <row r="11645" spans="1:3" x14ac:dyDescent="0.25">
      <c r="A11645" t="str">
        <f>"0611839009025"</f>
        <v>0611839009025</v>
      </c>
      <c r="B11645" t="str">
        <f>"MQ0362"</f>
        <v>MQ0362</v>
      </c>
      <c r="C11645" t="s">
        <v>11422</v>
      </c>
    </row>
    <row r="11646" spans="1:3" x14ac:dyDescent="0.25">
      <c r="A11646" t="str">
        <f>"0611839010100"</f>
        <v>0611839010100</v>
      </c>
      <c r="B11646" t="str">
        <f>"LQ3776"</f>
        <v>LQ3776</v>
      </c>
      <c r="C11646" t="s">
        <v>11423</v>
      </c>
    </row>
    <row r="11647" spans="1:3" x14ac:dyDescent="0.25">
      <c r="A11647" t="str">
        <f>"0611839011100"</f>
        <v>0611839011100</v>
      </c>
      <c r="B11647" t="str">
        <f>"LQ3484"</f>
        <v>LQ3484</v>
      </c>
      <c r="C11647" t="s">
        <v>11424</v>
      </c>
    </row>
    <row r="11648" spans="1:3" x14ac:dyDescent="0.25">
      <c r="A11648" t="str">
        <f>"0611839012100"</f>
        <v>0611839012100</v>
      </c>
      <c r="B11648" t="str">
        <f>"LQ3553"</f>
        <v>LQ3553</v>
      </c>
      <c r="C11648" t="s">
        <v>11425</v>
      </c>
    </row>
    <row r="11649" spans="1:3" x14ac:dyDescent="0.25">
      <c r="A11649" t="str">
        <f>"0611839013100"</f>
        <v>0611839013100</v>
      </c>
      <c r="B11649" t="str">
        <f>"LQ3554"</f>
        <v>LQ3554</v>
      </c>
      <c r="C11649" t="s">
        <v>11426</v>
      </c>
    </row>
    <row r="11650" spans="1:3" x14ac:dyDescent="0.25">
      <c r="A11650" t="str">
        <f>"0611906946025"</f>
        <v>0611906946025</v>
      </c>
      <c r="B11650" t="str">
        <f>"MC2931"</f>
        <v>MC2931</v>
      </c>
      <c r="C11650" t="s">
        <v>11427</v>
      </c>
    </row>
    <row r="11651" spans="1:3" x14ac:dyDescent="0.25">
      <c r="A11651" t="str">
        <f>"0611839014025"</f>
        <v>0611839014025</v>
      </c>
      <c r="B11651" t="str">
        <f>"MQ5145"</f>
        <v>MQ5145</v>
      </c>
      <c r="C11651" t="s">
        <v>11428</v>
      </c>
    </row>
    <row r="11652" spans="1:3" x14ac:dyDescent="0.25">
      <c r="A11652" t="str">
        <f>"0611839017025"</f>
        <v>0611839017025</v>
      </c>
      <c r="B11652" t="str">
        <f>"MQ3015"</f>
        <v>MQ3015</v>
      </c>
      <c r="C11652" t="s">
        <v>11429</v>
      </c>
    </row>
    <row r="11653" spans="1:3" x14ac:dyDescent="0.25">
      <c r="A11653" t="str">
        <f>"0611839020100"</f>
        <v>0611839020100</v>
      </c>
      <c r="B11653" t="str">
        <f>"LK6137"</f>
        <v>LK6137</v>
      </c>
      <c r="C11653" t="s">
        <v>11430</v>
      </c>
    </row>
    <row r="11654" spans="1:3" x14ac:dyDescent="0.25">
      <c r="A11654" t="str">
        <f>"0611884450025"</f>
        <v>0611884450025</v>
      </c>
      <c r="B11654" t="str">
        <f>"MQ0816"</f>
        <v>MQ0816</v>
      </c>
      <c r="C11654" t="s">
        <v>11431</v>
      </c>
    </row>
    <row r="11655" spans="1:3" x14ac:dyDescent="0.25">
      <c r="A11655" t="str">
        <f>"0611839021100"</f>
        <v>0611839021100</v>
      </c>
      <c r="B11655" t="str">
        <f>"LB8165"</f>
        <v>LB8165</v>
      </c>
      <c r="C11655" t="s">
        <v>11432</v>
      </c>
    </row>
    <row r="11656" spans="1:3" x14ac:dyDescent="0.25">
      <c r="A11656" t="str">
        <f>"0611839022100"</f>
        <v>0611839022100</v>
      </c>
      <c r="B11656" t="str">
        <f>"LK2405"</f>
        <v>LK2405</v>
      </c>
      <c r="C11656" t="s">
        <v>11433</v>
      </c>
    </row>
    <row r="11657" spans="1:3" x14ac:dyDescent="0.25">
      <c r="A11657" t="str">
        <f>"0611839024100"</f>
        <v>0611839024100</v>
      </c>
      <c r="B11657" t="str">
        <f>"LB8167"</f>
        <v>LB8167</v>
      </c>
      <c r="C11657" t="s">
        <v>11434</v>
      </c>
    </row>
    <row r="11658" spans="1:3" x14ac:dyDescent="0.25">
      <c r="A11658" t="str">
        <f>"0611839025100"</f>
        <v>0611839025100</v>
      </c>
      <c r="B11658" t="str">
        <f>"LB8156"</f>
        <v>LB8156</v>
      </c>
      <c r="C11658" t="s">
        <v>11435</v>
      </c>
    </row>
    <row r="11659" spans="1:3" x14ac:dyDescent="0.25">
      <c r="A11659" t="str">
        <f>"0611839026100"</f>
        <v>0611839026100</v>
      </c>
      <c r="B11659" t="str">
        <f>"LB8168"</f>
        <v>LB8168</v>
      </c>
      <c r="C11659" t="s">
        <v>11436</v>
      </c>
    </row>
    <row r="11660" spans="1:3" x14ac:dyDescent="0.25">
      <c r="A11660" t="str">
        <f>"0611839027100"</f>
        <v>0611839027100</v>
      </c>
      <c r="B11660" t="str">
        <f>"LB8169"</f>
        <v>LB8169</v>
      </c>
      <c r="C11660" t="s">
        <v>11437</v>
      </c>
    </row>
    <row r="11661" spans="1:3" x14ac:dyDescent="0.25">
      <c r="A11661" t="str">
        <f>"0611839028100"</f>
        <v>0611839028100</v>
      </c>
      <c r="B11661" t="str">
        <f>"LB8173"</f>
        <v>LB8173</v>
      </c>
      <c r="C11661" t="s">
        <v>11438</v>
      </c>
    </row>
    <row r="11662" spans="1:3" x14ac:dyDescent="0.25">
      <c r="A11662" t="str">
        <f>"0611839029025"</f>
        <v>0611839029025</v>
      </c>
      <c r="B11662" t="str">
        <f>"MC1352"</f>
        <v>MC1352</v>
      </c>
      <c r="C11662" t="s">
        <v>11439</v>
      </c>
    </row>
    <row r="11663" spans="1:3" x14ac:dyDescent="0.25">
      <c r="A11663" t="str">
        <f>"0611863968050"</f>
        <v>0611863968050</v>
      </c>
      <c r="B11663" t="str">
        <f>"CR4447"</f>
        <v>CR4447</v>
      </c>
      <c r="C11663" t="s">
        <v>11440</v>
      </c>
    </row>
    <row r="11664" spans="1:3" x14ac:dyDescent="0.25">
      <c r="A11664" t="str">
        <f>"0611884451100"</f>
        <v>0611884451100</v>
      </c>
      <c r="B11664" t="str">
        <f>"LC9630"</f>
        <v>LC9630</v>
      </c>
      <c r="C11664" t="s">
        <v>11441</v>
      </c>
    </row>
    <row r="11665" spans="1:3" x14ac:dyDescent="0.25">
      <c r="A11665" t="str">
        <f>"0611839030025"</f>
        <v>0611839030025</v>
      </c>
      <c r="B11665" t="str">
        <f>"MC4327"</f>
        <v>MC4327</v>
      </c>
      <c r="C11665" t="s">
        <v>11442</v>
      </c>
    </row>
    <row r="11666" spans="1:3" x14ac:dyDescent="0.25">
      <c r="A11666" t="str">
        <f>"0611863969100"</f>
        <v>0611863969100</v>
      </c>
      <c r="B11666" t="str">
        <f>"CN5366"</f>
        <v>CN5366</v>
      </c>
      <c r="C11666" t="s">
        <v>11443</v>
      </c>
    </row>
    <row r="11667" spans="1:3" x14ac:dyDescent="0.25">
      <c r="A11667" t="str">
        <f>"0611863970100"</f>
        <v>0611863970100</v>
      </c>
      <c r="B11667" t="str">
        <f>"CN5367"</f>
        <v>CN5367</v>
      </c>
      <c r="C11667" t="s">
        <v>11444</v>
      </c>
    </row>
    <row r="11668" spans="1:3" x14ac:dyDescent="0.25">
      <c r="A11668" t="str">
        <f>"0611893667100"</f>
        <v>0611893667100</v>
      </c>
      <c r="B11668" t="str">
        <f>"CN5444"</f>
        <v>CN5444</v>
      </c>
      <c r="C11668" t="s">
        <v>11445</v>
      </c>
    </row>
    <row r="11669" spans="1:3" x14ac:dyDescent="0.25">
      <c r="A11669" t="str">
        <f>"0611839031100"</f>
        <v>0611839031100</v>
      </c>
      <c r="B11669" t="str">
        <f>"LB8390"</f>
        <v>LB8390</v>
      </c>
      <c r="C11669" t="s">
        <v>11446</v>
      </c>
    </row>
    <row r="11670" spans="1:3" x14ac:dyDescent="0.25">
      <c r="A11670" t="str">
        <f>"0611839032100"</f>
        <v>0611839032100</v>
      </c>
      <c r="B11670" t="str">
        <f>"LB8395"</f>
        <v>LB8395</v>
      </c>
      <c r="C11670" t="s">
        <v>11447</v>
      </c>
    </row>
    <row r="11671" spans="1:3" x14ac:dyDescent="0.25">
      <c r="A11671" t="str">
        <f>"0611839033100"</f>
        <v>0611839033100</v>
      </c>
      <c r="B11671" t="str">
        <f>"LK6010"</f>
        <v>LK6010</v>
      </c>
      <c r="C11671" t="s">
        <v>11448</v>
      </c>
    </row>
    <row r="11672" spans="1:3" x14ac:dyDescent="0.25">
      <c r="A11672" t="str">
        <f>"0611839034100"</f>
        <v>0611839034100</v>
      </c>
      <c r="B11672" t="str">
        <f>"LK5925"</f>
        <v>LK5925</v>
      </c>
      <c r="C11672" t="s">
        <v>11449</v>
      </c>
    </row>
    <row r="11673" spans="1:3" x14ac:dyDescent="0.25">
      <c r="A11673" t="str">
        <f>"0611839035100"</f>
        <v>0611839035100</v>
      </c>
      <c r="B11673" t="str">
        <f>"LK4942"</f>
        <v>LK4942</v>
      </c>
      <c r="C11673" t="s">
        <v>11450</v>
      </c>
    </row>
    <row r="11674" spans="1:3" x14ac:dyDescent="0.25">
      <c r="A11674" t="str">
        <f>"0611839036100"</f>
        <v>0611839036100</v>
      </c>
      <c r="B11674" t="str">
        <f>"LK4757"</f>
        <v>LK4757</v>
      </c>
      <c r="C11674" t="s">
        <v>11451</v>
      </c>
    </row>
    <row r="11675" spans="1:3" x14ac:dyDescent="0.25">
      <c r="A11675" t="str">
        <f>"0611839037100"</f>
        <v>0611839037100</v>
      </c>
      <c r="B11675" t="str">
        <f>"LK5671"</f>
        <v>LK5671</v>
      </c>
      <c r="C11675" t="s">
        <v>11452</v>
      </c>
    </row>
    <row r="11676" spans="1:3" x14ac:dyDescent="0.25">
      <c r="A11676" t="str">
        <f>"0611839039025"</f>
        <v>0611839039025</v>
      </c>
      <c r="B11676" t="str">
        <f>"MQ0427"</f>
        <v>MQ0427</v>
      </c>
      <c r="C11676" t="s">
        <v>11453</v>
      </c>
    </row>
    <row r="11677" spans="1:3" x14ac:dyDescent="0.25">
      <c r="A11677" t="str">
        <f>"0611839038025"</f>
        <v>0611839038025</v>
      </c>
      <c r="B11677" t="str">
        <f>"MQ0531"</f>
        <v>MQ0531</v>
      </c>
      <c r="C11677" t="s">
        <v>11454</v>
      </c>
    </row>
    <row r="11678" spans="1:3" x14ac:dyDescent="0.25">
      <c r="A11678" t="str">
        <f>"0611839040025"</f>
        <v>0611839040025</v>
      </c>
      <c r="B11678" t="str">
        <f>"MQ0532"</f>
        <v>MQ0532</v>
      </c>
      <c r="C11678" t="s">
        <v>11455</v>
      </c>
    </row>
    <row r="11679" spans="1:3" x14ac:dyDescent="0.25">
      <c r="A11679" t="str">
        <f>"0611839041025"</f>
        <v>0611839041025</v>
      </c>
      <c r="B11679" t="str">
        <f>"MQ0604"</f>
        <v>MQ0604</v>
      </c>
      <c r="C11679" t="s">
        <v>11456</v>
      </c>
    </row>
    <row r="11680" spans="1:3" x14ac:dyDescent="0.25">
      <c r="A11680" t="str">
        <f>"0611839042025"</f>
        <v>0611839042025</v>
      </c>
      <c r="B11680" t="str">
        <f>"MQ0533"</f>
        <v>MQ0533</v>
      </c>
      <c r="C11680" t="s">
        <v>11457</v>
      </c>
    </row>
    <row r="11681" spans="1:3" x14ac:dyDescent="0.25">
      <c r="A11681" t="str">
        <f>"0611839043100"</f>
        <v>0611839043100</v>
      </c>
      <c r="B11681" t="str">
        <f>"LK5351"</f>
        <v>LK5351</v>
      </c>
      <c r="C11681" t="s">
        <v>11458</v>
      </c>
    </row>
    <row r="11682" spans="1:3" x14ac:dyDescent="0.25">
      <c r="A11682" t="str">
        <f>"0611839044100"</f>
        <v>0611839044100</v>
      </c>
      <c r="B11682" t="str">
        <f>"LB8412"</f>
        <v>LB8412</v>
      </c>
      <c r="C11682" t="s">
        <v>11459</v>
      </c>
    </row>
    <row r="11683" spans="1:3" x14ac:dyDescent="0.25">
      <c r="A11683" t="str">
        <f>"0611906947100"</f>
        <v>0611906947100</v>
      </c>
      <c r="B11683" t="str">
        <f>"LQ3992"</f>
        <v>LQ3992</v>
      </c>
      <c r="C11683" t="s">
        <v>11460</v>
      </c>
    </row>
    <row r="11684" spans="1:3" x14ac:dyDescent="0.25">
      <c r="A11684" t="str">
        <f>"0611839045025"</f>
        <v>0611839045025</v>
      </c>
      <c r="B11684" t="str">
        <f>"MC4315"</f>
        <v>MC4315</v>
      </c>
      <c r="C11684" t="s">
        <v>11461</v>
      </c>
    </row>
    <row r="11685" spans="1:3" x14ac:dyDescent="0.25">
      <c r="A11685" t="str">
        <f>"0611839046100"</f>
        <v>0611839046100</v>
      </c>
      <c r="B11685" t="str">
        <f>"LC9158"</f>
        <v>LC9158</v>
      </c>
      <c r="C11685" t="s">
        <v>11462</v>
      </c>
    </row>
    <row r="11686" spans="1:3" x14ac:dyDescent="0.25">
      <c r="A11686" t="str">
        <f>"0611839047025"</f>
        <v>0611839047025</v>
      </c>
      <c r="B11686" t="str">
        <f>"MC0815"</f>
        <v>MC0815</v>
      </c>
      <c r="C11686" t="s">
        <v>11463</v>
      </c>
    </row>
    <row r="11687" spans="1:3" x14ac:dyDescent="0.25">
      <c r="A11687" t="str">
        <f>"0611863971100"</f>
        <v>0611863971100</v>
      </c>
      <c r="B11687" t="str">
        <f>"CN5370"</f>
        <v>CN5370</v>
      </c>
      <c r="C11687" t="s">
        <v>11464</v>
      </c>
    </row>
    <row r="11688" spans="1:3" x14ac:dyDescent="0.25">
      <c r="A11688" t="str">
        <f>"0611906948100"</f>
        <v>0611906948100</v>
      </c>
      <c r="B11688" t="str">
        <f>"LQ3993"</f>
        <v>LQ3993</v>
      </c>
      <c r="C11688" t="s">
        <v>11465</v>
      </c>
    </row>
    <row r="11689" spans="1:3" x14ac:dyDescent="0.25">
      <c r="A11689" t="str">
        <f>"0611863973050"</f>
        <v>0611863973050</v>
      </c>
      <c r="B11689" t="str">
        <f>"CE0527"</f>
        <v>CE0527</v>
      </c>
      <c r="C11689" t="s">
        <v>11466</v>
      </c>
    </row>
    <row r="11690" spans="1:3" x14ac:dyDescent="0.25">
      <c r="A11690" t="str">
        <f>"0611863974050"</f>
        <v>0611863974050</v>
      </c>
      <c r="B11690" t="str">
        <f>"CR3917"</f>
        <v>CR3917</v>
      </c>
      <c r="C11690" t="s">
        <v>11467</v>
      </c>
    </row>
    <row r="11691" spans="1:3" x14ac:dyDescent="0.25">
      <c r="A11691" t="str">
        <f>"0611863975050"</f>
        <v>0611863975050</v>
      </c>
      <c r="B11691" t="str">
        <f>"CR3915"</f>
        <v>CR3915</v>
      </c>
      <c r="C11691" t="s">
        <v>11468</v>
      </c>
    </row>
    <row r="11692" spans="1:3" x14ac:dyDescent="0.25">
      <c r="A11692" t="str">
        <f>"0611863976050"</f>
        <v>0611863976050</v>
      </c>
      <c r="B11692" t="str">
        <f>"CR3916"</f>
        <v>CR3916</v>
      </c>
      <c r="C11692" t="s">
        <v>11469</v>
      </c>
    </row>
    <row r="11693" spans="1:3" x14ac:dyDescent="0.25">
      <c r="A11693" t="str">
        <f>"0611839049100"</f>
        <v>0611839049100</v>
      </c>
      <c r="B11693" t="str">
        <f>"LB8228"</f>
        <v>LB8228</v>
      </c>
      <c r="C11693" t="s">
        <v>11470</v>
      </c>
    </row>
    <row r="11694" spans="1:3" x14ac:dyDescent="0.25">
      <c r="A11694" t="str">
        <f>"0611839050100"</f>
        <v>0611839050100</v>
      </c>
      <c r="B11694" t="str">
        <f>"LB8229"</f>
        <v>LB8229</v>
      </c>
      <c r="C11694" t="s">
        <v>11471</v>
      </c>
    </row>
    <row r="11695" spans="1:3" x14ac:dyDescent="0.25">
      <c r="A11695" t="str">
        <f>"0611839052100"</f>
        <v>0611839052100</v>
      </c>
      <c r="B11695" t="str">
        <f>"LB8233"</f>
        <v>LB8233</v>
      </c>
      <c r="C11695" t="s">
        <v>11472</v>
      </c>
    </row>
    <row r="11696" spans="1:3" x14ac:dyDescent="0.25">
      <c r="A11696" t="str">
        <f>"0611839053100"</f>
        <v>0611839053100</v>
      </c>
      <c r="B11696" t="str">
        <f>"LB8264"</f>
        <v>LB8264</v>
      </c>
      <c r="C11696" t="s">
        <v>11473</v>
      </c>
    </row>
    <row r="11697" spans="1:3" x14ac:dyDescent="0.25">
      <c r="A11697" t="str">
        <f>"0611839054100"</f>
        <v>0611839054100</v>
      </c>
      <c r="B11697" t="str">
        <f>"LB8260"</f>
        <v>LB8260</v>
      </c>
      <c r="C11697" t="s">
        <v>11474</v>
      </c>
    </row>
    <row r="11698" spans="1:3" x14ac:dyDescent="0.25">
      <c r="A11698" t="str">
        <f>"0611839055100"</f>
        <v>0611839055100</v>
      </c>
      <c r="B11698" t="str">
        <f>"LB8369"</f>
        <v>LB8369</v>
      </c>
      <c r="C11698" t="s">
        <v>11475</v>
      </c>
    </row>
    <row r="11699" spans="1:3" x14ac:dyDescent="0.25">
      <c r="A11699" t="str">
        <f>"0611839056100"</f>
        <v>0611839056100</v>
      </c>
      <c r="B11699" t="str">
        <f>"LB8261"</f>
        <v>LB8261</v>
      </c>
      <c r="C11699" t="s">
        <v>11476</v>
      </c>
    </row>
    <row r="11700" spans="1:3" x14ac:dyDescent="0.25">
      <c r="A11700" t="str">
        <f>"0611839057100"</f>
        <v>0611839057100</v>
      </c>
      <c r="B11700" t="str">
        <f>"LK5926"</f>
        <v>LK5926</v>
      </c>
      <c r="C11700" t="s">
        <v>11477</v>
      </c>
    </row>
    <row r="11701" spans="1:3" x14ac:dyDescent="0.25">
      <c r="A11701" t="str">
        <f>"0611839058100"</f>
        <v>0611839058100</v>
      </c>
      <c r="B11701" t="str">
        <f>"LB8269"</f>
        <v>LB8269</v>
      </c>
      <c r="C11701" t="s">
        <v>11478</v>
      </c>
    </row>
    <row r="11702" spans="1:3" x14ac:dyDescent="0.25">
      <c r="A11702" t="str">
        <f>"0611839059100"</f>
        <v>0611839059100</v>
      </c>
      <c r="B11702" t="str">
        <f>"LB8263"</f>
        <v>LB8263</v>
      </c>
      <c r="C11702" t="s">
        <v>11479</v>
      </c>
    </row>
    <row r="11703" spans="1:3" x14ac:dyDescent="0.25">
      <c r="A11703" t="str">
        <f>"0611839060025"</f>
        <v>0611839060025</v>
      </c>
      <c r="B11703" t="str">
        <f>"MQ0360"</f>
        <v>MQ0360</v>
      </c>
      <c r="C11703" t="s">
        <v>11480</v>
      </c>
    </row>
    <row r="11704" spans="1:3" x14ac:dyDescent="0.25">
      <c r="A11704" t="str">
        <f>"0611863977050"</f>
        <v>0611863977050</v>
      </c>
      <c r="B11704" t="str">
        <f>"CR3015"</f>
        <v>CR3015</v>
      </c>
      <c r="C11704" t="s">
        <v>11481</v>
      </c>
    </row>
    <row r="11705" spans="1:3" x14ac:dyDescent="0.25">
      <c r="A11705" t="str">
        <f>"0611884452100"</f>
        <v>0611884452100</v>
      </c>
      <c r="B11705" t="str">
        <f>"LQ3941"</f>
        <v>LQ3941</v>
      </c>
      <c r="C11705" t="s">
        <v>11482</v>
      </c>
    </row>
    <row r="11706" spans="1:3" x14ac:dyDescent="0.25">
      <c r="A11706" t="str">
        <f>"0611839063100"</f>
        <v>0611839063100</v>
      </c>
      <c r="B11706" t="str">
        <f>"LF0041"</f>
        <v>LF0041</v>
      </c>
      <c r="C11706" t="s">
        <v>11483</v>
      </c>
    </row>
    <row r="11707" spans="1:3" x14ac:dyDescent="0.25">
      <c r="A11707" t="str">
        <f>"0611839064100"</f>
        <v>0611839064100</v>
      </c>
      <c r="B11707" t="str">
        <f>"LF0042"</f>
        <v>LF0042</v>
      </c>
      <c r="C11707" t="s">
        <v>11484</v>
      </c>
    </row>
    <row r="11708" spans="1:3" x14ac:dyDescent="0.25">
      <c r="A11708" t="str">
        <f>"0611839065100"</f>
        <v>0611839065100</v>
      </c>
      <c r="B11708" t="str">
        <f>"LF7011"</f>
        <v>LF7011</v>
      </c>
      <c r="C11708" t="s">
        <v>11485</v>
      </c>
    </row>
    <row r="11709" spans="1:3" x14ac:dyDescent="0.25">
      <c r="A11709" t="str">
        <f>"0611839066100"</f>
        <v>0611839066100</v>
      </c>
      <c r="B11709" t="str">
        <f>"LF0040"</f>
        <v>LF0040</v>
      </c>
      <c r="C11709" t="s">
        <v>11486</v>
      </c>
    </row>
    <row r="11710" spans="1:3" x14ac:dyDescent="0.25">
      <c r="A11710" t="str">
        <f>"0611839067025"</f>
        <v>0611839067025</v>
      </c>
      <c r="B11710" t="str">
        <f>"MC0668"</f>
        <v>MC0668</v>
      </c>
      <c r="C11710" t="s">
        <v>11487</v>
      </c>
    </row>
    <row r="11711" spans="1:3" x14ac:dyDescent="0.25">
      <c r="A11711" t="str">
        <f>"0611839068100"</f>
        <v>0611839068100</v>
      </c>
      <c r="B11711" t="str">
        <f>"LC9180"</f>
        <v>LC9180</v>
      </c>
      <c r="C11711" t="s">
        <v>11488</v>
      </c>
    </row>
    <row r="11712" spans="1:3" x14ac:dyDescent="0.25">
      <c r="A11712" t="str">
        <f>"0611839069100"</f>
        <v>0611839069100</v>
      </c>
      <c r="B11712" t="str">
        <f>"LC9182"</f>
        <v>LC9182</v>
      </c>
      <c r="C11712" t="s">
        <v>11489</v>
      </c>
    </row>
    <row r="11713" spans="1:3" x14ac:dyDescent="0.25">
      <c r="A11713" t="str">
        <f>"0611863978100"</f>
        <v>0611863978100</v>
      </c>
      <c r="B11713" t="str">
        <f>"CN5372"</f>
        <v>CN5372</v>
      </c>
      <c r="C11713" t="s">
        <v>11490</v>
      </c>
    </row>
    <row r="11714" spans="1:3" x14ac:dyDescent="0.25">
      <c r="A11714" t="str">
        <f>"0611884453025"</f>
        <v>0611884453025</v>
      </c>
      <c r="B11714" t="str">
        <f>"MC0669"</f>
        <v>MC0669</v>
      </c>
      <c r="C11714" t="s">
        <v>11491</v>
      </c>
    </row>
    <row r="11715" spans="1:3" x14ac:dyDescent="0.25">
      <c r="A11715" t="str">
        <f>"0611839070100"</f>
        <v>0611839070100</v>
      </c>
      <c r="B11715" t="str">
        <f>"LK0374"</f>
        <v>LK0374</v>
      </c>
      <c r="C11715" t="s">
        <v>11492</v>
      </c>
    </row>
    <row r="11716" spans="1:3" x14ac:dyDescent="0.25">
      <c r="A11716" t="str">
        <f>"0611839072100"</f>
        <v>0611839072100</v>
      </c>
      <c r="B11716" t="str">
        <f>"LB8480"</f>
        <v>LB8480</v>
      </c>
      <c r="C11716" t="s">
        <v>11493</v>
      </c>
    </row>
    <row r="11717" spans="1:3" x14ac:dyDescent="0.25">
      <c r="A11717" t="str">
        <f>"0611839073100"</f>
        <v>0611839073100</v>
      </c>
      <c r="B11717" t="str">
        <f>"LK4458"</f>
        <v>LK4458</v>
      </c>
      <c r="C11717" t="s">
        <v>11494</v>
      </c>
    </row>
    <row r="11718" spans="1:3" x14ac:dyDescent="0.25">
      <c r="A11718" t="str">
        <f>"0611839074100"</f>
        <v>0611839074100</v>
      </c>
      <c r="B11718" t="str">
        <f>"LQ3486"</f>
        <v>LQ3486</v>
      </c>
      <c r="C11718" t="s">
        <v>11495</v>
      </c>
    </row>
    <row r="11719" spans="1:3" x14ac:dyDescent="0.25">
      <c r="A11719" t="str">
        <f>"0611839075100"</f>
        <v>0611839075100</v>
      </c>
      <c r="B11719" t="str">
        <f>"LK6640"</f>
        <v>LK6640</v>
      </c>
      <c r="C11719" t="s">
        <v>11496</v>
      </c>
    </row>
    <row r="11720" spans="1:3" x14ac:dyDescent="0.25">
      <c r="A11720" t="str">
        <f>"0611839076100"</f>
        <v>0611839076100</v>
      </c>
      <c r="B11720" t="str">
        <f>"LQ5769"</f>
        <v>LQ5769</v>
      </c>
      <c r="C11720" t="s">
        <v>11497</v>
      </c>
    </row>
    <row r="11721" spans="1:3" x14ac:dyDescent="0.25">
      <c r="A11721" t="str">
        <f>"0611863979050"</f>
        <v>0611863979050</v>
      </c>
      <c r="B11721" t="str">
        <f>"CR2534"</f>
        <v>CR2534</v>
      </c>
      <c r="C11721" t="s">
        <v>11498</v>
      </c>
    </row>
    <row r="11722" spans="1:3" x14ac:dyDescent="0.25">
      <c r="A11722" t="str">
        <f>"0611863980050"</f>
        <v>0611863980050</v>
      </c>
      <c r="B11722" t="str">
        <f>"CR3048"</f>
        <v>CR3048</v>
      </c>
      <c r="C11722" t="s">
        <v>11499</v>
      </c>
    </row>
    <row r="11723" spans="1:3" x14ac:dyDescent="0.25">
      <c r="A11723" t="str">
        <f>"0611863981050"</f>
        <v>0611863981050</v>
      </c>
      <c r="B11723" t="str">
        <f>"CR2535"</f>
        <v>CR2535</v>
      </c>
      <c r="C11723" t="s">
        <v>11500</v>
      </c>
    </row>
    <row r="11724" spans="1:3" x14ac:dyDescent="0.25">
      <c r="A11724" t="str">
        <f>"0611839077100"</f>
        <v>0611839077100</v>
      </c>
      <c r="B11724" t="str">
        <f>"LQ0942"</f>
        <v>LQ0942</v>
      </c>
      <c r="C11724" t="s">
        <v>11501</v>
      </c>
    </row>
    <row r="11725" spans="1:3" x14ac:dyDescent="0.25">
      <c r="A11725" t="str">
        <f>"0611839078100"</f>
        <v>0611839078100</v>
      </c>
      <c r="B11725" t="str">
        <f>"LQ5874"</f>
        <v>LQ5874</v>
      </c>
      <c r="C11725" t="s">
        <v>11502</v>
      </c>
    </row>
    <row r="11726" spans="1:3" x14ac:dyDescent="0.25">
      <c r="A11726" t="str">
        <f>"0611839079100"</f>
        <v>0611839079100</v>
      </c>
      <c r="B11726" t="str">
        <f>"LQ0473"</f>
        <v>LQ0473</v>
      </c>
      <c r="C11726" t="s">
        <v>11503</v>
      </c>
    </row>
    <row r="11727" spans="1:3" x14ac:dyDescent="0.25">
      <c r="A11727" t="str">
        <f>"0611839080100"</f>
        <v>0611839080100</v>
      </c>
      <c r="B11727" t="str">
        <f>"LK5927"</f>
        <v>LK5927</v>
      </c>
      <c r="C11727" t="s">
        <v>11504</v>
      </c>
    </row>
    <row r="11728" spans="1:3" x14ac:dyDescent="0.25">
      <c r="A11728" t="str">
        <f>"0611839081025"</f>
        <v>0611839081025</v>
      </c>
      <c r="B11728" t="str">
        <f>"MC0671"</f>
        <v>MC0671</v>
      </c>
      <c r="C11728" t="s">
        <v>11505</v>
      </c>
    </row>
    <row r="11729" spans="1:3" x14ac:dyDescent="0.25">
      <c r="A11729" t="str">
        <f>"0611839082100"</f>
        <v>0611839082100</v>
      </c>
      <c r="B11729" t="str">
        <f>"LH7450"</f>
        <v>LH7450</v>
      </c>
      <c r="C11729" t="s">
        <v>11506</v>
      </c>
    </row>
    <row r="11730" spans="1:3" x14ac:dyDescent="0.25">
      <c r="A11730" t="str">
        <f>"0611839083100"</f>
        <v>0611839083100</v>
      </c>
      <c r="B11730" t="str">
        <f>"LC3374"</f>
        <v>LC3374</v>
      </c>
      <c r="C11730" t="s">
        <v>8116</v>
      </c>
    </row>
    <row r="11731" spans="1:3" x14ac:dyDescent="0.25">
      <c r="A11731" t="str">
        <f>"0611884454025"</f>
        <v>0611884454025</v>
      </c>
      <c r="B11731" t="str">
        <f>"MC4504"</f>
        <v>MC4504</v>
      </c>
      <c r="C11731" t="s">
        <v>11507</v>
      </c>
    </row>
    <row r="11732" spans="1:3" x14ac:dyDescent="0.25">
      <c r="A11732" t="str">
        <f>"0611884455025"</f>
        <v>0611884455025</v>
      </c>
      <c r="B11732" t="str">
        <f>"MC0816"</f>
        <v>MC0816</v>
      </c>
      <c r="C11732" t="s">
        <v>11508</v>
      </c>
    </row>
    <row r="11733" spans="1:3" x14ac:dyDescent="0.25">
      <c r="A11733" t="str">
        <f>"0611839088025"</f>
        <v>0611839088025</v>
      </c>
      <c r="B11733" t="str">
        <f>"MQ0735"</f>
        <v>MQ0735</v>
      </c>
      <c r="C11733" t="s">
        <v>11509</v>
      </c>
    </row>
    <row r="11734" spans="1:3" x14ac:dyDescent="0.25">
      <c r="A11734" t="str">
        <f>"0611839089025"</f>
        <v>0611839089025</v>
      </c>
      <c r="B11734" t="str">
        <f>"MQ6074"</f>
        <v>MQ6074</v>
      </c>
      <c r="C11734" t="s">
        <v>11510</v>
      </c>
    </row>
    <row r="11735" spans="1:3" x14ac:dyDescent="0.25">
      <c r="A11735" t="str">
        <f>"0611863982050"</f>
        <v>0611863982050</v>
      </c>
      <c r="B11735" t="str">
        <f>"CE1693"</f>
        <v>CE1693</v>
      </c>
      <c r="C11735" t="s">
        <v>11511</v>
      </c>
    </row>
    <row r="11736" spans="1:3" x14ac:dyDescent="0.25">
      <c r="A11736" t="str">
        <f>"0611884456025"</f>
        <v>0611884456025</v>
      </c>
      <c r="B11736" t="str">
        <f>"MQ0847"</f>
        <v>MQ0847</v>
      </c>
      <c r="C11736" t="s">
        <v>11512</v>
      </c>
    </row>
    <row r="11737" spans="1:3" x14ac:dyDescent="0.25">
      <c r="A11737" t="str">
        <f>"0611839090025"</f>
        <v>0611839090025</v>
      </c>
      <c r="B11737" t="str">
        <f>"MQ6075"</f>
        <v>MQ6075</v>
      </c>
      <c r="C11737" t="s">
        <v>11513</v>
      </c>
    </row>
    <row r="11738" spans="1:3" x14ac:dyDescent="0.25">
      <c r="A11738" t="str">
        <f>"0611839091025"</f>
        <v>0611839091025</v>
      </c>
      <c r="B11738" t="str">
        <f>"MQ6076"</f>
        <v>MQ6076</v>
      </c>
      <c r="C11738" t="s">
        <v>11514</v>
      </c>
    </row>
    <row r="11739" spans="1:3" x14ac:dyDescent="0.25">
      <c r="A11739" t="str">
        <f>"0611839093025"</f>
        <v>0611839093025</v>
      </c>
      <c r="B11739" t="str">
        <f>"MQ3036"</f>
        <v>MQ3036</v>
      </c>
      <c r="C11739" t="s">
        <v>11515</v>
      </c>
    </row>
    <row r="11740" spans="1:3" x14ac:dyDescent="0.25">
      <c r="A11740" t="str">
        <f>"0611863983050"</f>
        <v>0611863983050</v>
      </c>
      <c r="B11740" t="str">
        <f>"CE1694"</f>
        <v>CE1694</v>
      </c>
      <c r="C11740" t="s">
        <v>11516</v>
      </c>
    </row>
    <row r="11741" spans="1:3" x14ac:dyDescent="0.25">
      <c r="A11741" t="str">
        <f>"0611839095025"</f>
        <v>0611839095025</v>
      </c>
      <c r="B11741" t="str">
        <f>"MQ6077"</f>
        <v>MQ6077</v>
      </c>
      <c r="C11741" t="s">
        <v>11517</v>
      </c>
    </row>
    <row r="11742" spans="1:3" x14ac:dyDescent="0.25">
      <c r="A11742" t="str">
        <f>"0611863984050"</f>
        <v>0611863984050</v>
      </c>
      <c r="B11742" t="str">
        <f>"CE1695"</f>
        <v>CE1695</v>
      </c>
      <c r="C11742" t="s">
        <v>11518</v>
      </c>
    </row>
    <row r="11743" spans="1:3" x14ac:dyDescent="0.25">
      <c r="A11743" t="str">
        <f>"0611857101025"</f>
        <v>0611857101025</v>
      </c>
      <c r="B11743" t="str">
        <f>"MC4446"</f>
        <v>MC4446</v>
      </c>
      <c r="C11743" t="s">
        <v>11519</v>
      </c>
    </row>
    <row r="11744" spans="1:3" x14ac:dyDescent="0.25">
      <c r="A11744" t="str">
        <f>"0611839100025"</f>
        <v>0611839100025</v>
      </c>
      <c r="B11744" t="str">
        <f>"MQ0605"</f>
        <v>MQ0605</v>
      </c>
      <c r="C11744" t="s">
        <v>11520</v>
      </c>
    </row>
    <row r="11745" spans="1:3" x14ac:dyDescent="0.25">
      <c r="A11745" t="str">
        <f>"0611839101025"</f>
        <v>0611839101025</v>
      </c>
      <c r="B11745" t="str">
        <f>"MQ0606"</f>
        <v>MQ0606</v>
      </c>
      <c r="C11745" t="s">
        <v>11521</v>
      </c>
    </row>
    <row r="11746" spans="1:3" x14ac:dyDescent="0.25">
      <c r="A11746" t="str">
        <f>"0611906949025"</f>
        <v>0611906949025</v>
      </c>
      <c r="B11746" t="str">
        <f>"MQ7610"</f>
        <v>MQ7610</v>
      </c>
      <c r="C11746" t="s">
        <v>11522</v>
      </c>
    </row>
    <row r="11747" spans="1:3" x14ac:dyDescent="0.25">
      <c r="A11747" t="str">
        <f>"0611906950025"</f>
        <v>0611906950025</v>
      </c>
      <c r="B11747" t="str">
        <f>"MQ7611"</f>
        <v>MQ7611</v>
      </c>
      <c r="C11747" t="s">
        <v>11523</v>
      </c>
    </row>
    <row r="11748" spans="1:3" x14ac:dyDescent="0.25">
      <c r="A11748" t="str">
        <f>"0611906951025"</f>
        <v>0611906951025</v>
      </c>
      <c r="B11748" t="str">
        <f>"MQ7612"</f>
        <v>MQ7612</v>
      </c>
      <c r="C11748" t="s">
        <v>11524</v>
      </c>
    </row>
    <row r="11749" spans="1:3" x14ac:dyDescent="0.25">
      <c r="A11749" t="str">
        <f>"0611906952025"</f>
        <v>0611906952025</v>
      </c>
      <c r="B11749" t="str">
        <f>"MQ7613"</f>
        <v>MQ7613</v>
      </c>
      <c r="C11749" t="s">
        <v>11525</v>
      </c>
    </row>
    <row r="11750" spans="1:3" x14ac:dyDescent="0.25">
      <c r="A11750" t="str">
        <f>"0611839103025"</f>
        <v>0611839103025</v>
      </c>
      <c r="B11750" t="str">
        <f>"MC0672"</f>
        <v>MC0672</v>
      </c>
      <c r="C11750" t="s">
        <v>11526</v>
      </c>
    </row>
    <row r="11751" spans="1:3" x14ac:dyDescent="0.25">
      <c r="A11751" t="str">
        <f>"0611839105100"</f>
        <v>0611839105100</v>
      </c>
      <c r="B11751" t="str">
        <f>"LH7480"</f>
        <v>LH7480</v>
      </c>
      <c r="C11751" t="s">
        <v>11527</v>
      </c>
    </row>
    <row r="11752" spans="1:3" x14ac:dyDescent="0.25">
      <c r="A11752" t="str">
        <f>"0611863985100"</f>
        <v>0611863985100</v>
      </c>
      <c r="B11752" t="str">
        <f>"CN5373"</f>
        <v>CN5373</v>
      </c>
      <c r="C11752" t="s">
        <v>11528</v>
      </c>
    </row>
    <row r="11753" spans="1:3" x14ac:dyDescent="0.25">
      <c r="A11753" t="str">
        <f>"0611863987100"</f>
        <v>0611863987100</v>
      </c>
      <c r="B11753" t="str">
        <f>"CN5374"</f>
        <v>CN5374</v>
      </c>
      <c r="C11753" t="s">
        <v>11529</v>
      </c>
    </row>
    <row r="11754" spans="1:3" x14ac:dyDescent="0.25">
      <c r="A11754" t="str">
        <f>"0611863989050"</f>
        <v>0611863989050</v>
      </c>
      <c r="B11754" t="str">
        <f>"CE1037"</f>
        <v>CE1037</v>
      </c>
      <c r="C11754" t="s">
        <v>11530</v>
      </c>
    </row>
    <row r="11755" spans="1:3" x14ac:dyDescent="0.25">
      <c r="A11755" t="str">
        <f>"0611839106025"</f>
        <v>0611839106025</v>
      </c>
      <c r="B11755" t="str">
        <f>"MQ3085"</f>
        <v>MQ3085</v>
      </c>
      <c r="C11755" t="s">
        <v>11531</v>
      </c>
    </row>
    <row r="11756" spans="1:3" x14ac:dyDescent="0.25">
      <c r="A11756" t="str">
        <f>"0611863990050"</f>
        <v>0611863990050</v>
      </c>
      <c r="B11756" t="str">
        <f>"CE1721"</f>
        <v>CE1721</v>
      </c>
      <c r="C11756" t="s">
        <v>11532</v>
      </c>
    </row>
    <row r="11757" spans="1:3" x14ac:dyDescent="0.25">
      <c r="A11757" t="str">
        <f>"0611839108025"</f>
        <v>0611839108025</v>
      </c>
      <c r="B11757" t="str">
        <f>"MQ6079"</f>
        <v>MQ6079</v>
      </c>
      <c r="C11757" t="s">
        <v>11533</v>
      </c>
    </row>
    <row r="11758" spans="1:3" x14ac:dyDescent="0.25">
      <c r="A11758" t="str">
        <f>"0611893668050"</f>
        <v>0611893668050</v>
      </c>
      <c r="B11758" t="str">
        <f>"CE1041"</f>
        <v>CE1041</v>
      </c>
      <c r="C11758" t="s">
        <v>11534</v>
      </c>
    </row>
    <row r="11759" spans="1:3" x14ac:dyDescent="0.25">
      <c r="A11759" t="str">
        <f>"0611839109025"</f>
        <v>0611839109025</v>
      </c>
      <c r="B11759" t="str">
        <f>"MQ0534"</f>
        <v>MQ0534</v>
      </c>
      <c r="C11759" t="s">
        <v>11535</v>
      </c>
    </row>
    <row r="11760" spans="1:3" x14ac:dyDescent="0.25">
      <c r="A11760" t="str">
        <f>"0611906953025"</f>
        <v>0611906953025</v>
      </c>
      <c r="B11760" t="str">
        <f>"MQ7614"</f>
        <v>MQ7614</v>
      </c>
      <c r="C11760" t="s">
        <v>11536</v>
      </c>
    </row>
    <row r="11761" spans="1:3" x14ac:dyDescent="0.25">
      <c r="A11761" t="str">
        <f>"0611863991050"</f>
        <v>0611863991050</v>
      </c>
      <c r="B11761" t="str">
        <f>"CE1722"</f>
        <v>CE1722</v>
      </c>
      <c r="C11761" t="s">
        <v>11537</v>
      </c>
    </row>
    <row r="11762" spans="1:3" x14ac:dyDescent="0.25">
      <c r="A11762" t="str">
        <f>"0611839110025"</f>
        <v>0611839110025</v>
      </c>
      <c r="B11762" t="str">
        <f>"MQ3086"</f>
        <v>MQ3086</v>
      </c>
      <c r="C11762" t="s">
        <v>11538</v>
      </c>
    </row>
    <row r="11763" spans="1:3" x14ac:dyDescent="0.25">
      <c r="A11763" t="str">
        <f>"0611839111025"</f>
        <v>0611839111025</v>
      </c>
      <c r="B11763" t="str">
        <f>"MQ3087"</f>
        <v>MQ3087</v>
      </c>
      <c r="C11763" t="s">
        <v>11539</v>
      </c>
    </row>
    <row r="11764" spans="1:3" x14ac:dyDescent="0.25">
      <c r="A11764" t="str">
        <f>"0611839112025"</f>
        <v>0611839112025</v>
      </c>
      <c r="B11764" t="str">
        <f>"MC3432"</f>
        <v>MC3432</v>
      </c>
      <c r="C11764" t="s">
        <v>11540</v>
      </c>
    </row>
    <row r="11765" spans="1:3" x14ac:dyDescent="0.25">
      <c r="A11765" t="str">
        <f>"0611863992100"</f>
        <v>0611863992100</v>
      </c>
      <c r="B11765" t="str">
        <f>"CN5377"</f>
        <v>CN5377</v>
      </c>
      <c r="C11765" t="s">
        <v>11541</v>
      </c>
    </row>
    <row r="11766" spans="1:3" x14ac:dyDescent="0.25">
      <c r="A11766" t="str">
        <f>"0611839113025"</f>
        <v>0611839113025</v>
      </c>
      <c r="B11766" t="str">
        <f>"MC0673"</f>
        <v>MC0673</v>
      </c>
      <c r="C11766" t="s">
        <v>11542</v>
      </c>
    </row>
    <row r="11767" spans="1:3" x14ac:dyDescent="0.25">
      <c r="A11767" t="str">
        <f>"0611839114025"</f>
        <v>0611839114025</v>
      </c>
      <c r="B11767" t="str">
        <f>"MC3461"</f>
        <v>MC3461</v>
      </c>
      <c r="C11767" t="s">
        <v>11543</v>
      </c>
    </row>
    <row r="11768" spans="1:3" x14ac:dyDescent="0.25">
      <c r="A11768" t="str">
        <f>"0611839115100"</f>
        <v>0611839115100</v>
      </c>
      <c r="B11768" t="str">
        <f>"LH8929"</f>
        <v>LH8929</v>
      </c>
      <c r="C11768" t="s">
        <v>11544</v>
      </c>
    </row>
    <row r="11769" spans="1:3" x14ac:dyDescent="0.25">
      <c r="A11769" t="str">
        <f>"0611839116025"</f>
        <v>0611839116025</v>
      </c>
      <c r="B11769" t="str">
        <f>"MC3433"</f>
        <v>MC3433</v>
      </c>
      <c r="C11769" t="s">
        <v>11545</v>
      </c>
    </row>
    <row r="11770" spans="1:3" x14ac:dyDescent="0.25">
      <c r="A11770" t="str">
        <f>"0611863993100"</f>
        <v>0611863993100</v>
      </c>
      <c r="B11770" t="str">
        <f>"CN5375"</f>
        <v>CN5375</v>
      </c>
      <c r="C11770" t="s">
        <v>11546</v>
      </c>
    </row>
    <row r="11771" spans="1:3" x14ac:dyDescent="0.25">
      <c r="A11771" t="str">
        <f>"0611839117025"</f>
        <v>0611839117025</v>
      </c>
      <c r="B11771" t="str">
        <f>"MQ3200"</f>
        <v>MQ3200</v>
      </c>
      <c r="C11771" t="s">
        <v>11547</v>
      </c>
    </row>
    <row r="11772" spans="1:3" x14ac:dyDescent="0.25">
      <c r="A11772" t="str">
        <f>"0611839118025"</f>
        <v>0611839118025</v>
      </c>
      <c r="B11772" t="str">
        <f>"MQ0364"</f>
        <v>MQ0364</v>
      </c>
      <c r="C11772" t="s">
        <v>11548</v>
      </c>
    </row>
    <row r="11773" spans="1:3" x14ac:dyDescent="0.25">
      <c r="A11773" t="str">
        <f>"0611863994100"</f>
        <v>0611863994100</v>
      </c>
      <c r="B11773" t="str">
        <f>"CN5376"</f>
        <v>CN5376</v>
      </c>
      <c r="C11773" t="s">
        <v>11549</v>
      </c>
    </row>
    <row r="11774" spans="1:3" x14ac:dyDescent="0.25">
      <c r="A11774" t="str">
        <f>"0611839119025"</f>
        <v>0611839119025</v>
      </c>
      <c r="B11774" t="str">
        <f>"MQ3201"</f>
        <v>MQ3201</v>
      </c>
      <c r="C11774" t="s">
        <v>11550</v>
      </c>
    </row>
    <row r="11775" spans="1:3" x14ac:dyDescent="0.25">
      <c r="A11775" t="str">
        <f>"0611839129100"</f>
        <v>0611839129100</v>
      </c>
      <c r="B11775" t="str">
        <f>"LK0375"</f>
        <v>LK0375</v>
      </c>
      <c r="C11775" t="s">
        <v>11554</v>
      </c>
    </row>
    <row r="11776" spans="1:3" x14ac:dyDescent="0.25">
      <c r="A11776" t="str">
        <f>"0611839120025"</f>
        <v>0611839120025</v>
      </c>
      <c r="B11776" t="str">
        <f>"MQ0607"</f>
        <v>MQ0607</v>
      </c>
      <c r="C11776" t="s">
        <v>11551</v>
      </c>
    </row>
    <row r="11777" spans="1:3" x14ac:dyDescent="0.25">
      <c r="A11777" t="str">
        <f>"0611839122025"</f>
        <v>0611839122025</v>
      </c>
      <c r="B11777" t="str">
        <f>"MQ6080"</f>
        <v>MQ6080</v>
      </c>
      <c r="C11777" t="s">
        <v>11552</v>
      </c>
    </row>
    <row r="11778" spans="1:3" x14ac:dyDescent="0.25">
      <c r="A11778" t="str">
        <f>"0611839123025"</f>
        <v>0611839123025</v>
      </c>
      <c r="B11778" t="str">
        <f>"MQ0609"</f>
        <v>MQ0609</v>
      </c>
      <c r="C11778" t="s">
        <v>11553</v>
      </c>
    </row>
    <row r="11779" spans="1:3" x14ac:dyDescent="0.25">
      <c r="A11779" t="str">
        <f>"0611839124025"</f>
        <v>0611839124025</v>
      </c>
      <c r="B11779" t="str">
        <f>"MQ0736"</f>
        <v>MQ0736</v>
      </c>
      <c r="C11779" t="s">
        <v>11555</v>
      </c>
    </row>
    <row r="11780" spans="1:3" x14ac:dyDescent="0.25">
      <c r="A11780" t="str">
        <f>"0611906954025"</f>
        <v>0611906954025</v>
      </c>
      <c r="B11780" t="str">
        <f>"MQ7615"</f>
        <v>MQ7615</v>
      </c>
      <c r="C11780" t="s">
        <v>11556</v>
      </c>
    </row>
    <row r="11781" spans="1:3" x14ac:dyDescent="0.25">
      <c r="A11781" t="str">
        <f>"0611839125025"</f>
        <v>0611839125025</v>
      </c>
      <c r="B11781" t="str">
        <f>"MC3803"</f>
        <v>MC3803</v>
      </c>
      <c r="C11781" t="s">
        <v>11557</v>
      </c>
    </row>
    <row r="11782" spans="1:3" x14ac:dyDescent="0.25">
      <c r="A11782" t="str">
        <f>"0611863996100"</f>
        <v>0611863996100</v>
      </c>
      <c r="B11782" t="str">
        <f>"CN5378"</f>
        <v>CN5378</v>
      </c>
      <c r="C11782" t="s">
        <v>11558</v>
      </c>
    </row>
    <row r="11783" spans="1:3" x14ac:dyDescent="0.25">
      <c r="A11783" t="str">
        <f>"0611839126025"</f>
        <v>0611839126025</v>
      </c>
      <c r="B11783" t="str">
        <f>"MC0676"</f>
        <v>MC0676</v>
      </c>
      <c r="C11783" t="s">
        <v>11559</v>
      </c>
    </row>
    <row r="11784" spans="1:3" x14ac:dyDescent="0.25">
      <c r="A11784" t="str">
        <f>"0611839127025"</f>
        <v>0611839127025</v>
      </c>
      <c r="B11784" t="str">
        <f>"MC3403"</f>
        <v>MC3403</v>
      </c>
      <c r="C11784" t="s">
        <v>11560</v>
      </c>
    </row>
    <row r="11785" spans="1:3" x14ac:dyDescent="0.25">
      <c r="A11785" t="str">
        <f>"0611839128025"</f>
        <v>0611839128025</v>
      </c>
      <c r="B11785" t="str">
        <f>"MC3435"</f>
        <v>MC3435</v>
      </c>
      <c r="C11785" t="s">
        <v>11561</v>
      </c>
    </row>
    <row r="11786" spans="1:3" x14ac:dyDescent="0.25">
      <c r="A11786" t="str">
        <f>"0611839131025"</f>
        <v>0611839131025</v>
      </c>
      <c r="B11786" t="str">
        <f>"MQ0367"</f>
        <v>MQ0367</v>
      </c>
      <c r="C11786" t="s">
        <v>11562</v>
      </c>
    </row>
    <row r="11787" spans="1:3" x14ac:dyDescent="0.25">
      <c r="A11787" t="str">
        <f>"0611884457100"</f>
        <v>0611884457100</v>
      </c>
      <c r="B11787" t="str">
        <f>"LQ6302"</f>
        <v>LQ6302</v>
      </c>
      <c r="C11787" t="s">
        <v>11564</v>
      </c>
    </row>
    <row r="11788" spans="1:3" x14ac:dyDescent="0.25">
      <c r="A11788" t="str">
        <f>"0611884458100"</f>
        <v>0611884458100</v>
      </c>
      <c r="B11788" t="str">
        <f>"LQ6303"</f>
        <v>LQ6303</v>
      </c>
      <c r="C11788" t="s">
        <v>11563</v>
      </c>
    </row>
    <row r="11789" spans="1:3" x14ac:dyDescent="0.25">
      <c r="A11789" t="str">
        <f>"0611839135100"</f>
        <v>0611839135100</v>
      </c>
      <c r="B11789" t="str">
        <f>"LQ5814"</f>
        <v>LQ5814</v>
      </c>
      <c r="C11789" t="s">
        <v>11565</v>
      </c>
    </row>
    <row r="11790" spans="1:3" x14ac:dyDescent="0.25">
      <c r="A11790" t="str">
        <f>"0611863997050"</f>
        <v>0611863997050</v>
      </c>
      <c r="B11790" t="str">
        <f>"CE0531"</f>
        <v>CE0531</v>
      </c>
      <c r="C11790" t="s">
        <v>11566</v>
      </c>
    </row>
    <row r="11791" spans="1:3" x14ac:dyDescent="0.25">
      <c r="A11791" t="str">
        <f>"0611863998050"</f>
        <v>0611863998050</v>
      </c>
      <c r="B11791" t="str">
        <f>"CE1588"</f>
        <v>CE1588</v>
      </c>
      <c r="C11791" t="s">
        <v>11567</v>
      </c>
    </row>
    <row r="11792" spans="1:3" x14ac:dyDescent="0.25">
      <c r="A11792" t="str">
        <f>"0611863999050"</f>
        <v>0611863999050</v>
      </c>
      <c r="B11792" t="str">
        <f>"CE0529"</f>
        <v>CE0529</v>
      </c>
      <c r="C11792" t="s">
        <v>11568</v>
      </c>
    </row>
    <row r="11793" spans="1:3" x14ac:dyDescent="0.25">
      <c r="A11793" t="str">
        <f>"0611864000050"</f>
        <v>0611864000050</v>
      </c>
      <c r="B11793" t="str">
        <f>"CE1619"</f>
        <v>CE1619</v>
      </c>
      <c r="C11793" t="s">
        <v>11569</v>
      </c>
    </row>
    <row r="11794" spans="1:3" x14ac:dyDescent="0.25">
      <c r="A11794" t="str">
        <f>"0611864001050"</f>
        <v>0611864001050</v>
      </c>
      <c r="B11794" t="str">
        <f>"CE0530"</f>
        <v>CE0530</v>
      </c>
      <c r="C11794" t="s">
        <v>11570</v>
      </c>
    </row>
    <row r="11795" spans="1:3" x14ac:dyDescent="0.25">
      <c r="A11795" t="str">
        <f>"0611864002050"</f>
        <v>0611864002050</v>
      </c>
      <c r="B11795" t="str">
        <f>"CE1495"</f>
        <v>CE1495</v>
      </c>
      <c r="C11795" t="s">
        <v>11571</v>
      </c>
    </row>
    <row r="11796" spans="1:3" x14ac:dyDescent="0.25">
      <c r="A11796" t="str">
        <f>"0611864003050"</f>
        <v>0611864003050</v>
      </c>
      <c r="B11796" t="str">
        <f>"CR2536"</f>
        <v>CR2536</v>
      </c>
      <c r="C11796" t="s">
        <v>11572</v>
      </c>
    </row>
    <row r="11797" spans="1:3" x14ac:dyDescent="0.25">
      <c r="A11797" t="str">
        <f>"0611839136100"</f>
        <v>0611839136100</v>
      </c>
      <c r="B11797" t="str">
        <f>"LQ0174"</f>
        <v>LQ0174</v>
      </c>
      <c r="C11797" t="s">
        <v>11573</v>
      </c>
    </row>
    <row r="11798" spans="1:3" x14ac:dyDescent="0.25">
      <c r="A11798" t="str">
        <f>"0611864004050"</f>
        <v>0611864004050</v>
      </c>
      <c r="B11798" t="str">
        <f>"CR2538"</f>
        <v>CR2538</v>
      </c>
      <c r="C11798" t="s">
        <v>11574</v>
      </c>
    </row>
    <row r="11799" spans="1:3" x14ac:dyDescent="0.25">
      <c r="A11799" t="str">
        <f>"0611839144100"</f>
        <v>0611839144100</v>
      </c>
      <c r="B11799" t="str">
        <f>"MB7021"</f>
        <v>MB7021</v>
      </c>
      <c r="C11799" t="s">
        <v>11575</v>
      </c>
    </row>
    <row r="11800" spans="1:3" x14ac:dyDescent="0.25">
      <c r="A11800" t="str">
        <f>"0611839145100"</f>
        <v>0611839145100</v>
      </c>
      <c r="B11800" t="str">
        <f>"LG6650"</f>
        <v>LG6650</v>
      </c>
      <c r="C11800" t="s">
        <v>11576</v>
      </c>
    </row>
    <row r="11801" spans="1:3" x14ac:dyDescent="0.25">
      <c r="A11801" t="str">
        <f>"0611839140100"</f>
        <v>0611839140100</v>
      </c>
      <c r="B11801" t="str">
        <f>"LQ6120"</f>
        <v>LQ6120</v>
      </c>
      <c r="C11801" t="s">
        <v>11577</v>
      </c>
    </row>
    <row r="11802" spans="1:3" x14ac:dyDescent="0.25">
      <c r="A11802" t="str">
        <f>"0611839142100"</f>
        <v>0611839142100</v>
      </c>
      <c r="B11802" t="str">
        <f>"LQ6078"</f>
        <v>LQ6078</v>
      </c>
      <c r="C11802" t="s">
        <v>11578</v>
      </c>
    </row>
    <row r="11803" spans="1:3" x14ac:dyDescent="0.25">
      <c r="A11803" t="str">
        <f>"0611839143100"</f>
        <v>0611839143100</v>
      </c>
      <c r="B11803" t="str">
        <f>"LQ0906"</f>
        <v>LQ0906</v>
      </c>
      <c r="C11803" t="s">
        <v>11579</v>
      </c>
    </row>
    <row r="11804" spans="1:3" x14ac:dyDescent="0.25">
      <c r="A11804" t="str">
        <f>"0611864005050"</f>
        <v>0611864005050</v>
      </c>
      <c r="B11804" t="str">
        <f>"CR3154"</f>
        <v>CR3154</v>
      </c>
      <c r="C11804" t="s">
        <v>11580</v>
      </c>
    </row>
    <row r="11805" spans="1:3" x14ac:dyDescent="0.25">
      <c r="A11805" t="str">
        <f>"0611884459050"</f>
        <v>0611884459050</v>
      </c>
      <c r="B11805" t="str">
        <f>"CR5384"</f>
        <v>CR5384</v>
      </c>
      <c r="C11805" t="s">
        <v>11581</v>
      </c>
    </row>
    <row r="11806" spans="1:3" x14ac:dyDescent="0.25">
      <c r="A11806" t="str">
        <f>"0611884460050"</f>
        <v>0611884460050</v>
      </c>
      <c r="B11806" t="str">
        <f>"CR5385"</f>
        <v>CR5385</v>
      </c>
      <c r="C11806" t="s">
        <v>11582</v>
      </c>
    </row>
    <row r="11807" spans="1:3" x14ac:dyDescent="0.25">
      <c r="A11807" t="str">
        <f>"0611864006050"</f>
        <v>0611864006050</v>
      </c>
      <c r="B11807" t="str">
        <f>"CR3155"</f>
        <v>CR3155</v>
      </c>
      <c r="C11807" t="s">
        <v>11583</v>
      </c>
    </row>
    <row r="11808" spans="1:3" x14ac:dyDescent="0.25">
      <c r="A11808" t="str">
        <f>"0611906595050"</f>
        <v>0611906595050</v>
      </c>
      <c r="B11808" t="str">
        <f>"CR5513"</f>
        <v>CR5513</v>
      </c>
      <c r="C11808" t="s">
        <v>11584</v>
      </c>
    </row>
    <row r="11809" spans="1:3" x14ac:dyDescent="0.25">
      <c r="A11809" t="str">
        <f>"0611906596050"</f>
        <v>0611906596050</v>
      </c>
      <c r="B11809" t="str">
        <f>"CR5514"</f>
        <v>CR5514</v>
      </c>
      <c r="C11809" t="s">
        <v>11585</v>
      </c>
    </row>
    <row r="11810" spans="1:3" x14ac:dyDescent="0.25">
      <c r="A11810" t="str">
        <f>"0611864007050"</f>
        <v>0611864007050</v>
      </c>
      <c r="B11810" t="str">
        <f>"CR3742"</f>
        <v>CR3742</v>
      </c>
      <c r="C11810" t="s">
        <v>11586</v>
      </c>
    </row>
    <row r="11811" spans="1:3" x14ac:dyDescent="0.25">
      <c r="A11811" t="str">
        <f>"0611884461050"</f>
        <v>0611884461050</v>
      </c>
      <c r="B11811" t="str">
        <f>"CR5399"</f>
        <v>CR5399</v>
      </c>
      <c r="C11811" t="s">
        <v>11587</v>
      </c>
    </row>
    <row r="11812" spans="1:3" x14ac:dyDescent="0.25">
      <c r="A11812" t="str">
        <f>"0611864008050"</f>
        <v>0611864008050</v>
      </c>
      <c r="B11812" t="str">
        <f>"CR4869"</f>
        <v>CR4869</v>
      </c>
      <c r="C11812" t="s">
        <v>11588</v>
      </c>
    </row>
    <row r="11813" spans="1:3" x14ac:dyDescent="0.25">
      <c r="A11813" t="str">
        <f>"0611864009050"</f>
        <v>0611864009050</v>
      </c>
      <c r="B11813" t="str">
        <f>"CR3156"</f>
        <v>CR3156</v>
      </c>
      <c r="C11813" t="s">
        <v>11589</v>
      </c>
    </row>
    <row r="11814" spans="1:3" x14ac:dyDescent="0.25">
      <c r="A11814" t="str">
        <f>"0611884462050"</f>
        <v>0611884462050</v>
      </c>
      <c r="B11814" t="str">
        <f>"CR5373"</f>
        <v>CR5373</v>
      </c>
      <c r="C11814" t="s">
        <v>11590</v>
      </c>
    </row>
    <row r="11815" spans="1:3" x14ac:dyDescent="0.25">
      <c r="A11815" t="str">
        <f>"0611839146100"</f>
        <v>0611839146100</v>
      </c>
      <c r="B11815" t="str">
        <f>"LQ0824"</f>
        <v>LQ0824</v>
      </c>
      <c r="C11815" t="s">
        <v>11591</v>
      </c>
    </row>
    <row r="11816" spans="1:3" x14ac:dyDescent="0.25">
      <c r="A11816" t="str">
        <f>"0611864010050"</f>
        <v>0611864010050</v>
      </c>
      <c r="B11816" t="str">
        <f>"CR3570"</f>
        <v>CR3570</v>
      </c>
      <c r="C11816" t="s">
        <v>11592</v>
      </c>
    </row>
    <row r="11817" spans="1:3" x14ac:dyDescent="0.25">
      <c r="A11817" t="str">
        <f>"0611906955100"</f>
        <v>0611906955100</v>
      </c>
      <c r="B11817" t="str">
        <f>"LQ3994"</f>
        <v>LQ3994</v>
      </c>
      <c r="C11817" t="s">
        <v>11595</v>
      </c>
    </row>
    <row r="11818" spans="1:3" x14ac:dyDescent="0.25">
      <c r="A11818" t="str">
        <f>"0611839147100"</f>
        <v>0611839147100</v>
      </c>
      <c r="B11818" t="str">
        <f>"LQ0826"</f>
        <v>LQ0826</v>
      </c>
      <c r="C11818" t="s">
        <v>11593</v>
      </c>
    </row>
    <row r="11819" spans="1:3" x14ac:dyDescent="0.25">
      <c r="A11819" t="str">
        <f>"0611864011050"</f>
        <v>0611864011050</v>
      </c>
      <c r="B11819" t="str">
        <f>"CR3571"</f>
        <v>CR3571</v>
      </c>
      <c r="C11819" t="s">
        <v>11594</v>
      </c>
    </row>
    <row r="11820" spans="1:3" x14ac:dyDescent="0.25">
      <c r="A11820" t="str">
        <f>"0611839148100"</f>
        <v>0611839148100</v>
      </c>
      <c r="B11820" t="str">
        <f>"LQ3423"</f>
        <v>LQ3423</v>
      </c>
      <c r="C11820" t="s">
        <v>11596</v>
      </c>
    </row>
    <row r="11821" spans="1:3" x14ac:dyDescent="0.25">
      <c r="A11821" t="str">
        <f>"0611864012050"</f>
        <v>0611864012050</v>
      </c>
      <c r="B11821" t="str">
        <f>"CR3572"</f>
        <v>CR3572</v>
      </c>
      <c r="C11821" t="s">
        <v>11597</v>
      </c>
    </row>
    <row r="11822" spans="1:3" x14ac:dyDescent="0.25">
      <c r="A11822" t="str">
        <f>"0611839149100"</f>
        <v>0611839149100</v>
      </c>
      <c r="B11822" t="str">
        <f>"LQ3424"</f>
        <v>LQ3424</v>
      </c>
      <c r="C11822" t="s">
        <v>11598</v>
      </c>
    </row>
    <row r="11823" spans="1:3" x14ac:dyDescent="0.25">
      <c r="A11823" t="str">
        <f>"0611839150100"</f>
        <v>0611839150100</v>
      </c>
      <c r="B11823" t="str">
        <f>"LQ0827"</f>
        <v>LQ0827</v>
      </c>
      <c r="C11823" t="s">
        <v>11599</v>
      </c>
    </row>
    <row r="11824" spans="1:3" x14ac:dyDescent="0.25">
      <c r="A11824" t="str">
        <f>"0611906956100"</f>
        <v>0611906956100</v>
      </c>
      <c r="B11824" t="str">
        <f>"LQ3995"</f>
        <v>LQ3995</v>
      </c>
      <c r="C11824" t="s">
        <v>11600</v>
      </c>
    </row>
    <row r="11825" spans="1:3" x14ac:dyDescent="0.25">
      <c r="A11825" t="str">
        <f>"0611839151100"</f>
        <v>0611839151100</v>
      </c>
      <c r="B11825" t="str">
        <f>"LQ0897"</f>
        <v>LQ0897</v>
      </c>
      <c r="C11825" t="s">
        <v>11601</v>
      </c>
    </row>
    <row r="11826" spans="1:3" x14ac:dyDescent="0.25">
      <c r="A11826" t="str">
        <f>"0611864014050"</f>
        <v>0611864014050</v>
      </c>
      <c r="B11826" t="str">
        <f>"CR2541"</f>
        <v>CR2541</v>
      </c>
      <c r="C11826" t="s">
        <v>11602</v>
      </c>
    </row>
    <row r="11827" spans="1:3" x14ac:dyDescent="0.25">
      <c r="A11827" t="str">
        <f>"0611864015050"</f>
        <v>0611864015050</v>
      </c>
      <c r="B11827" t="str">
        <f>"CR5237"</f>
        <v>CR5237</v>
      </c>
      <c r="C11827" t="s">
        <v>11603</v>
      </c>
    </row>
    <row r="11828" spans="1:3" x14ac:dyDescent="0.25">
      <c r="A11828" t="str">
        <f>"0611864016050"</f>
        <v>0611864016050</v>
      </c>
      <c r="B11828" t="str">
        <f>"CR3406"</f>
        <v>CR3406</v>
      </c>
      <c r="C11828" t="s">
        <v>11604</v>
      </c>
    </row>
    <row r="11829" spans="1:3" x14ac:dyDescent="0.25">
      <c r="A11829" t="str">
        <f>"0611864017050"</f>
        <v>0611864017050</v>
      </c>
      <c r="B11829" t="str">
        <f>"CR3272"</f>
        <v>CR3272</v>
      </c>
      <c r="C11829" t="s">
        <v>11605</v>
      </c>
    </row>
    <row r="11830" spans="1:3" x14ac:dyDescent="0.25">
      <c r="A11830" t="str">
        <f>"0611839152100"</f>
        <v>0611839152100</v>
      </c>
      <c r="B11830" t="str">
        <f>"LQ3425"</f>
        <v>LQ3425</v>
      </c>
      <c r="C11830" t="s">
        <v>11606</v>
      </c>
    </row>
    <row r="11831" spans="1:3" x14ac:dyDescent="0.25">
      <c r="A11831" t="str">
        <f>"0611839153100"</f>
        <v>0611839153100</v>
      </c>
      <c r="B11831" t="str">
        <f>"LK6771"</f>
        <v>LK6771</v>
      </c>
      <c r="C11831" t="s">
        <v>11607</v>
      </c>
    </row>
    <row r="11832" spans="1:3" x14ac:dyDescent="0.25">
      <c r="A11832" t="str">
        <f>"0611839155100"</f>
        <v>0611839155100</v>
      </c>
      <c r="B11832" t="str">
        <f>"LQ3197"</f>
        <v>LQ3197</v>
      </c>
      <c r="C11832" t="s">
        <v>11613</v>
      </c>
    </row>
    <row r="11833" spans="1:3" x14ac:dyDescent="0.25">
      <c r="A11833" t="str">
        <f>"0611864018050"</f>
        <v>0611864018050</v>
      </c>
      <c r="B11833" t="str">
        <f>"CR2542"</f>
        <v>CR2542</v>
      </c>
      <c r="C11833" t="s">
        <v>11608</v>
      </c>
    </row>
    <row r="11834" spans="1:3" x14ac:dyDescent="0.25">
      <c r="A11834" t="str">
        <f>"0611839156100"</f>
        <v>0611839156100</v>
      </c>
      <c r="B11834" t="str">
        <f>"LQ3198"</f>
        <v>LQ3198</v>
      </c>
      <c r="C11834" t="s">
        <v>11614</v>
      </c>
    </row>
    <row r="11835" spans="1:3" x14ac:dyDescent="0.25">
      <c r="A11835" t="str">
        <f>"0611864019050"</f>
        <v>0611864019050</v>
      </c>
      <c r="B11835" t="str">
        <f>"CE0798"</f>
        <v>CE0798</v>
      </c>
      <c r="C11835" t="s">
        <v>11609</v>
      </c>
    </row>
    <row r="11836" spans="1:3" x14ac:dyDescent="0.25">
      <c r="A11836" t="str">
        <f>"0611839157100"</f>
        <v>0611839157100</v>
      </c>
      <c r="B11836" t="str">
        <f>"LQ3199"</f>
        <v>LQ3199</v>
      </c>
      <c r="C11836" t="s">
        <v>11615</v>
      </c>
    </row>
    <row r="11837" spans="1:3" x14ac:dyDescent="0.25">
      <c r="A11837" t="str">
        <f>"0611864020050"</f>
        <v>0611864020050</v>
      </c>
      <c r="B11837" t="str">
        <f>"CE0799"</f>
        <v>CE0799</v>
      </c>
      <c r="C11837" t="s">
        <v>11610</v>
      </c>
    </row>
    <row r="11838" spans="1:3" x14ac:dyDescent="0.25">
      <c r="A11838" t="str">
        <f>"0611857102100"</f>
        <v>0611857102100</v>
      </c>
      <c r="B11838" t="str">
        <f>"LQ3899"</f>
        <v>LQ3899</v>
      </c>
      <c r="C11838" t="s">
        <v>11616</v>
      </c>
    </row>
    <row r="11839" spans="1:3" x14ac:dyDescent="0.25">
      <c r="A11839" t="str">
        <f>"0611864021050"</f>
        <v>0611864021050</v>
      </c>
      <c r="B11839" t="str">
        <f>"CR5238"</f>
        <v>CR5238</v>
      </c>
      <c r="C11839" t="s">
        <v>11611</v>
      </c>
    </row>
    <row r="11840" spans="1:3" x14ac:dyDescent="0.25">
      <c r="A11840" t="str">
        <f>"0611839154100"</f>
        <v>0611839154100</v>
      </c>
      <c r="B11840" t="str">
        <f>"LQ0303"</f>
        <v>LQ0303</v>
      </c>
      <c r="C11840" t="s">
        <v>11612</v>
      </c>
    </row>
    <row r="11841" spans="1:3" x14ac:dyDescent="0.25">
      <c r="A11841" t="str">
        <f>"0611906957100"</f>
        <v>0611906957100</v>
      </c>
      <c r="B11841" t="str">
        <f>"LQ3996"</f>
        <v>LQ3996</v>
      </c>
      <c r="C11841" t="s">
        <v>11617</v>
      </c>
    </row>
    <row r="11842" spans="1:3" x14ac:dyDescent="0.25">
      <c r="A11842" t="str">
        <f>"0611839158100"</f>
        <v>0611839158100</v>
      </c>
      <c r="B11842" t="str">
        <f>"LQ6119"</f>
        <v>LQ6119</v>
      </c>
      <c r="C11842" t="s">
        <v>11618</v>
      </c>
    </row>
    <row r="11843" spans="1:3" x14ac:dyDescent="0.25">
      <c r="A11843" t="str">
        <f>"0611857103100"</f>
        <v>0611857103100</v>
      </c>
      <c r="B11843" t="str">
        <f>"LQ6254"</f>
        <v>LQ6254</v>
      </c>
      <c r="C11843" t="s">
        <v>11619</v>
      </c>
    </row>
    <row r="11844" spans="1:3" x14ac:dyDescent="0.25">
      <c r="A11844" t="str">
        <f>"0611839159100"</f>
        <v>0611839159100</v>
      </c>
      <c r="B11844" t="str">
        <f>"LQ6121"</f>
        <v>LQ6121</v>
      </c>
      <c r="C11844" t="s">
        <v>11620</v>
      </c>
    </row>
    <row r="11845" spans="1:3" x14ac:dyDescent="0.25">
      <c r="A11845" t="str">
        <f>"0611839161100"</f>
        <v>0611839161100</v>
      </c>
      <c r="B11845" t="str">
        <f>"LQ5253"</f>
        <v>LQ5253</v>
      </c>
      <c r="C11845" t="s">
        <v>11621</v>
      </c>
    </row>
    <row r="11846" spans="1:3" x14ac:dyDescent="0.25">
      <c r="A11846" t="str">
        <f>"0611839162100"</f>
        <v>0611839162100</v>
      </c>
      <c r="B11846" t="str">
        <f>"LF1003"</f>
        <v>LF1003</v>
      </c>
      <c r="C11846" t="s">
        <v>11622</v>
      </c>
    </row>
    <row r="11847" spans="1:3" x14ac:dyDescent="0.25">
      <c r="A11847" t="str">
        <f>"0611839163100"</f>
        <v>0611839163100</v>
      </c>
      <c r="B11847" t="str">
        <f>"LF1000"</f>
        <v>LF1000</v>
      </c>
      <c r="C11847" t="s">
        <v>11623</v>
      </c>
    </row>
    <row r="11848" spans="1:3" x14ac:dyDescent="0.25">
      <c r="A11848" t="str">
        <f>"0611839164100"</f>
        <v>0611839164100</v>
      </c>
      <c r="B11848" t="str">
        <f>"LF1001"</f>
        <v>LF1001</v>
      </c>
      <c r="C11848" t="s">
        <v>11624</v>
      </c>
    </row>
    <row r="11849" spans="1:3" x14ac:dyDescent="0.25">
      <c r="A11849" t="str">
        <f>"0611839165100"</f>
        <v>0611839165100</v>
      </c>
      <c r="B11849" t="str">
        <f>"LK5138"</f>
        <v>LK5138</v>
      </c>
      <c r="C11849" t="s">
        <v>11625</v>
      </c>
    </row>
    <row r="11850" spans="1:3" x14ac:dyDescent="0.25">
      <c r="A11850" t="str">
        <f>"0611839167100"</f>
        <v>0611839167100</v>
      </c>
      <c r="B11850" t="str">
        <f>"LB8499"</f>
        <v>LB8499</v>
      </c>
      <c r="C11850" t="s">
        <v>11626</v>
      </c>
    </row>
    <row r="11851" spans="1:3" x14ac:dyDescent="0.25">
      <c r="A11851" t="str">
        <f>"0611839166025"</f>
        <v>0611839166025</v>
      </c>
      <c r="B11851" t="str">
        <f>"MC3189"</f>
        <v>MC3189</v>
      </c>
      <c r="C11851" t="s">
        <v>11627</v>
      </c>
    </row>
    <row r="11852" spans="1:3" x14ac:dyDescent="0.25">
      <c r="A11852" t="str">
        <f>"0611839168025"</f>
        <v>0611839168025</v>
      </c>
      <c r="B11852" t="str">
        <f>"MC1186"</f>
        <v>MC1186</v>
      </c>
      <c r="C11852" t="s">
        <v>11628</v>
      </c>
    </row>
    <row r="11853" spans="1:3" x14ac:dyDescent="0.25">
      <c r="A11853" t="str">
        <f>"0611864023050"</f>
        <v>0611864023050</v>
      </c>
      <c r="B11853" t="str">
        <f>"CR4665"</f>
        <v>CR4665</v>
      </c>
      <c r="C11853" t="s">
        <v>11629</v>
      </c>
    </row>
    <row r="11854" spans="1:3" x14ac:dyDescent="0.25">
      <c r="A11854" t="str">
        <f>"0611864024050"</f>
        <v>0611864024050</v>
      </c>
      <c r="B11854" t="str">
        <f>"CR4743"</f>
        <v>CR4743</v>
      </c>
      <c r="C11854" t="s">
        <v>11630</v>
      </c>
    </row>
    <row r="11855" spans="1:3" x14ac:dyDescent="0.25">
      <c r="A11855" t="str">
        <f>"0611839169025"</f>
        <v>0611839169025</v>
      </c>
      <c r="B11855" t="str">
        <f>"MC2872"</f>
        <v>MC2872</v>
      </c>
      <c r="C11855" t="s">
        <v>11631</v>
      </c>
    </row>
    <row r="11856" spans="1:3" x14ac:dyDescent="0.25">
      <c r="A11856" t="str">
        <f>"0611864025100"</f>
        <v>0611864025100</v>
      </c>
      <c r="B11856" t="str">
        <f>"CN2242"</f>
        <v>CN2242</v>
      </c>
      <c r="C11856" t="s">
        <v>11632</v>
      </c>
    </row>
    <row r="11857" spans="1:3" x14ac:dyDescent="0.25">
      <c r="A11857" t="str">
        <f>"0611839170025"</f>
        <v>0611839170025</v>
      </c>
      <c r="B11857" t="str">
        <f>"MC1371"</f>
        <v>MC1371</v>
      </c>
      <c r="C11857" t="s">
        <v>11633</v>
      </c>
    </row>
    <row r="11858" spans="1:3" x14ac:dyDescent="0.25">
      <c r="A11858" t="str">
        <f>"0611864026100"</f>
        <v>0611864026100</v>
      </c>
      <c r="B11858" t="str">
        <f>"CN2243"</f>
        <v>CN2243</v>
      </c>
      <c r="C11858" t="s">
        <v>11634</v>
      </c>
    </row>
    <row r="11859" spans="1:3" x14ac:dyDescent="0.25">
      <c r="A11859" t="str">
        <f>"0611884463025"</f>
        <v>0611884463025</v>
      </c>
      <c r="B11859" t="str">
        <f>"MQ0848"</f>
        <v>MQ0848</v>
      </c>
      <c r="C11859" t="s">
        <v>11635</v>
      </c>
    </row>
    <row r="11860" spans="1:3" x14ac:dyDescent="0.25">
      <c r="A11860" t="str">
        <f>"0611839172100"</f>
        <v>0611839172100</v>
      </c>
      <c r="B11860" t="str">
        <f>"LH8932"</f>
        <v>LH8932</v>
      </c>
      <c r="C11860" t="s">
        <v>11636</v>
      </c>
    </row>
    <row r="11861" spans="1:3" x14ac:dyDescent="0.25">
      <c r="A11861" t="str">
        <f>"0611839173025"</f>
        <v>0611839173025</v>
      </c>
      <c r="B11861" t="str">
        <f>"MC3928"</f>
        <v>MC3928</v>
      </c>
      <c r="C11861" t="s">
        <v>11637</v>
      </c>
    </row>
    <row r="11862" spans="1:3" x14ac:dyDescent="0.25">
      <c r="A11862" t="str">
        <f>"0611839174025"</f>
        <v>0611839174025</v>
      </c>
      <c r="B11862" t="str">
        <f>"MQ0618"</f>
        <v>MQ0618</v>
      </c>
      <c r="C11862" t="s">
        <v>11638</v>
      </c>
    </row>
    <row r="11863" spans="1:3" x14ac:dyDescent="0.25">
      <c r="A11863" t="str">
        <f>"0611839175025"</f>
        <v>0611839175025</v>
      </c>
      <c r="B11863" t="str">
        <f>"MC4073"</f>
        <v>MC4073</v>
      </c>
      <c r="C11863" t="s">
        <v>11639</v>
      </c>
    </row>
    <row r="11864" spans="1:3" x14ac:dyDescent="0.25">
      <c r="A11864" t="str">
        <f>"0611864029100"</f>
        <v>0611864029100</v>
      </c>
      <c r="B11864" t="str">
        <f>"CN2245"</f>
        <v>CN2245</v>
      </c>
      <c r="C11864" t="s">
        <v>11640</v>
      </c>
    </row>
    <row r="11865" spans="1:3" x14ac:dyDescent="0.25">
      <c r="A11865" t="str">
        <f>"0611864030100"</f>
        <v>0611864030100</v>
      </c>
      <c r="B11865" t="str">
        <f>"CN5394"</f>
        <v>CN5394</v>
      </c>
      <c r="C11865" t="s">
        <v>11641</v>
      </c>
    </row>
    <row r="11866" spans="1:3" x14ac:dyDescent="0.25">
      <c r="A11866" t="str">
        <f>"0611839176025"</f>
        <v>0611839176025</v>
      </c>
      <c r="B11866" t="str">
        <f>"MC2780"</f>
        <v>MC2780</v>
      </c>
      <c r="C11866" t="s">
        <v>11642</v>
      </c>
    </row>
    <row r="11867" spans="1:3" x14ac:dyDescent="0.25">
      <c r="A11867" t="str">
        <f>"0611864031100"</f>
        <v>0611864031100</v>
      </c>
      <c r="B11867" t="str">
        <f>"CN5395"</f>
        <v>CN5395</v>
      </c>
      <c r="C11867" t="s">
        <v>11643</v>
      </c>
    </row>
    <row r="11868" spans="1:3" x14ac:dyDescent="0.25">
      <c r="A11868" t="str">
        <f>"0611839178025"</f>
        <v>0611839178025</v>
      </c>
      <c r="B11868" t="str">
        <f>"MC0682"</f>
        <v>MC0682</v>
      </c>
      <c r="C11868" t="s">
        <v>11644</v>
      </c>
    </row>
    <row r="11869" spans="1:3" x14ac:dyDescent="0.25">
      <c r="A11869" t="str">
        <f>"0611839177100"</f>
        <v>0611839177100</v>
      </c>
      <c r="B11869" t="str">
        <f>"LH7530"</f>
        <v>LH7530</v>
      </c>
      <c r="C11869" t="s">
        <v>13942</v>
      </c>
    </row>
    <row r="11870" spans="1:3" x14ac:dyDescent="0.25">
      <c r="A11870" t="str">
        <f>"0611864033100"</f>
        <v>0611864033100</v>
      </c>
      <c r="B11870" t="str">
        <f>"CN2391"</f>
        <v>CN2391</v>
      </c>
      <c r="C11870" t="s">
        <v>11645</v>
      </c>
    </row>
    <row r="11871" spans="1:3" x14ac:dyDescent="0.25">
      <c r="A11871" t="str">
        <f>"0611839179025"</f>
        <v>0611839179025</v>
      </c>
      <c r="B11871" t="str">
        <f>"MC3068"</f>
        <v>MC3068</v>
      </c>
      <c r="C11871" t="s">
        <v>11646</v>
      </c>
    </row>
    <row r="11872" spans="1:3" x14ac:dyDescent="0.25">
      <c r="A11872" t="str">
        <f>"0611839181100"</f>
        <v>0611839181100</v>
      </c>
      <c r="B11872" t="str">
        <f>"LH7525"</f>
        <v>LH7525</v>
      </c>
      <c r="C11872" t="s">
        <v>11647</v>
      </c>
    </row>
    <row r="11873" spans="1:3" x14ac:dyDescent="0.25">
      <c r="A11873" t="str">
        <f>"0611864035100"</f>
        <v>0611864035100</v>
      </c>
      <c r="B11873" t="str">
        <f>"CN5390"</f>
        <v>CN5390</v>
      </c>
      <c r="C11873" t="s">
        <v>11649</v>
      </c>
    </row>
    <row r="11874" spans="1:3" x14ac:dyDescent="0.25">
      <c r="A11874" t="str">
        <f>"0611839182025"</f>
        <v>0611839182025</v>
      </c>
      <c r="B11874" t="str">
        <f>"MC2781"</f>
        <v>MC2781</v>
      </c>
      <c r="C11874" t="s">
        <v>11648</v>
      </c>
    </row>
    <row r="11875" spans="1:3" x14ac:dyDescent="0.25">
      <c r="A11875" t="str">
        <f>"0611864034050"</f>
        <v>0611864034050</v>
      </c>
      <c r="B11875" t="str">
        <f>"CR4472"</f>
        <v>CR4472</v>
      </c>
      <c r="C11875" t="s">
        <v>11650</v>
      </c>
    </row>
    <row r="11876" spans="1:3" x14ac:dyDescent="0.25">
      <c r="A11876" t="str">
        <f>"0611839183025"</f>
        <v>0611839183025</v>
      </c>
      <c r="B11876" t="str">
        <f>"MC0683"</f>
        <v>MC0683</v>
      </c>
      <c r="C11876" t="s">
        <v>11651</v>
      </c>
    </row>
    <row r="11877" spans="1:3" x14ac:dyDescent="0.25">
      <c r="A11877" t="str">
        <f>"0611839184100"</f>
        <v>0611839184100</v>
      </c>
      <c r="B11877" t="str">
        <f>"LF0019"</f>
        <v>LF0019</v>
      </c>
      <c r="C11877" t="s">
        <v>11652</v>
      </c>
    </row>
    <row r="11878" spans="1:3" x14ac:dyDescent="0.25">
      <c r="A11878" t="str">
        <f>"0611839185025"</f>
        <v>0611839185025</v>
      </c>
      <c r="B11878" t="str">
        <f>"MQ6081"</f>
        <v>MQ6081</v>
      </c>
      <c r="C11878" t="s">
        <v>11653</v>
      </c>
    </row>
    <row r="11879" spans="1:3" x14ac:dyDescent="0.25">
      <c r="A11879" t="str">
        <f>"0611839186025"</f>
        <v>0611839186025</v>
      </c>
      <c r="B11879" t="str">
        <f>"MC1367"</f>
        <v>MC1367</v>
      </c>
      <c r="C11879" t="s">
        <v>11654</v>
      </c>
    </row>
    <row r="11880" spans="1:3" x14ac:dyDescent="0.25">
      <c r="A11880" t="str">
        <f>"0611864036100"</f>
        <v>0611864036100</v>
      </c>
      <c r="B11880" t="str">
        <f>"CN2244"</f>
        <v>CN2244</v>
      </c>
      <c r="C11880" t="s">
        <v>11655</v>
      </c>
    </row>
    <row r="11881" spans="1:3" x14ac:dyDescent="0.25">
      <c r="A11881" t="str">
        <f>"0611839187025"</f>
        <v>0611839187025</v>
      </c>
      <c r="B11881" t="str">
        <f>"MC1373"</f>
        <v>MC1373</v>
      </c>
      <c r="C11881" t="s">
        <v>11656</v>
      </c>
    </row>
    <row r="11882" spans="1:3" x14ac:dyDescent="0.25">
      <c r="A11882" t="str">
        <f>"0611864037100"</f>
        <v>0611864037100</v>
      </c>
      <c r="B11882" t="str">
        <f>"CN5387"</f>
        <v>CN5387</v>
      </c>
      <c r="C11882" t="s">
        <v>11659</v>
      </c>
    </row>
    <row r="11883" spans="1:3" x14ac:dyDescent="0.25">
      <c r="A11883" t="str">
        <f>"0611839188025"</f>
        <v>0611839188025</v>
      </c>
      <c r="B11883" t="str">
        <f>"MC3578"</f>
        <v>MC3578</v>
      </c>
      <c r="C11883" t="s">
        <v>11657</v>
      </c>
    </row>
    <row r="11884" spans="1:3" x14ac:dyDescent="0.25">
      <c r="A11884" t="str">
        <f>"0611839189025"</f>
        <v>0611839189025</v>
      </c>
      <c r="B11884" t="str">
        <f>"MQ3210"</f>
        <v>MQ3210</v>
      </c>
      <c r="C11884" t="s">
        <v>11658</v>
      </c>
    </row>
    <row r="11885" spans="1:3" x14ac:dyDescent="0.25">
      <c r="A11885" t="str">
        <f>"0611839190025"</f>
        <v>0611839190025</v>
      </c>
      <c r="B11885" t="str">
        <f>"MQ6082"</f>
        <v>MQ6082</v>
      </c>
      <c r="C11885" t="s">
        <v>11660</v>
      </c>
    </row>
    <row r="11886" spans="1:3" x14ac:dyDescent="0.25">
      <c r="A11886" t="str">
        <f>"0611839191025"</f>
        <v>0611839191025</v>
      </c>
      <c r="B11886" t="str">
        <f>"MC3877"</f>
        <v>MC3877</v>
      </c>
      <c r="C11886" t="s">
        <v>11661</v>
      </c>
    </row>
    <row r="11887" spans="1:3" x14ac:dyDescent="0.25">
      <c r="A11887" t="str">
        <f>"0611839192025"</f>
        <v>0611839192025</v>
      </c>
      <c r="B11887" t="str">
        <f>"MQ0737"</f>
        <v>MQ0737</v>
      </c>
      <c r="C11887" t="s">
        <v>11662</v>
      </c>
    </row>
    <row r="11888" spans="1:3" x14ac:dyDescent="0.25">
      <c r="A11888" t="str">
        <f>"0611839193100"</f>
        <v>0611839193100</v>
      </c>
      <c r="B11888" t="str">
        <f>"LF0020"</f>
        <v>LF0020</v>
      </c>
      <c r="C11888" t="s">
        <v>11663</v>
      </c>
    </row>
    <row r="11889" spans="1:3" x14ac:dyDescent="0.25">
      <c r="A11889" t="str">
        <f>"0611839194025"</f>
        <v>0611839194025</v>
      </c>
      <c r="B11889" t="str">
        <f>"MC3899"</f>
        <v>MC3899</v>
      </c>
      <c r="C11889" t="s">
        <v>11664</v>
      </c>
    </row>
    <row r="11890" spans="1:3" x14ac:dyDescent="0.25">
      <c r="A11890" t="str">
        <f>"0611839195100"</f>
        <v>0611839195100</v>
      </c>
      <c r="B11890" t="str">
        <f>"LH8933"</f>
        <v>LH8933</v>
      </c>
      <c r="C11890" t="s">
        <v>11665</v>
      </c>
    </row>
    <row r="11891" spans="1:3" x14ac:dyDescent="0.25">
      <c r="A11891" t="str">
        <f>"0611839196025"</f>
        <v>0611839196025</v>
      </c>
      <c r="B11891" t="str">
        <f>"MC2081"</f>
        <v>MC2081</v>
      </c>
      <c r="C11891" t="s">
        <v>11666</v>
      </c>
    </row>
    <row r="11892" spans="1:3" x14ac:dyDescent="0.25">
      <c r="A11892" t="str">
        <f>"0611839197025"</f>
        <v>0611839197025</v>
      </c>
      <c r="B11892" t="str">
        <f>"MQ6083"</f>
        <v>MQ6083</v>
      </c>
      <c r="C11892" t="s">
        <v>11667</v>
      </c>
    </row>
    <row r="11893" spans="1:3" x14ac:dyDescent="0.25">
      <c r="A11893" t="str">
        <f>"0611839198025"</f>
        <v>0611839198025</v>
      </c>
      <c r="B11893" t="str">
        <f>"MQ0368"</f>
        <v>MQ0368</v>
      </c>
      <c r="C11893" t="s">
        <v>11668</v>
      </c>
    </row>
    <row r="11894" spans="1:3" x14ac:dyDescent="0.25">
      <c r="A11894" t="str">
        <f>"0611839199025"</f>
        <v>0611839199025</v>
      </c>
      <c r="B11894" t="str">
        <f>"MQ6084"</f>
        <v>MQ6084</v>
      </c>
      <c r="C11894" t="s">
        <v>11669</v>
      </c>
    </row>
    <row r="11895" spans="1:3" x14ac:dyDescent="0.25">
      <c r="A11895" t="str">
        <f>"0611839200025"</f>
        <v>0611839200025</v>
      </c>
      <c r="B11895" t="str">
        <f>"MQ6085"</f>
        <v>MQ6085</v>
      </c>
      <c r="C11895" t="s">
        <v>11670</v>
      </c>
    </row>
    <row r="11896" spans="1:3" x14ac:dyDescent="0.25">
      <c r="A11896" t="str">
        <f>"0611864041100"</f>
        <v>0611864041100</v>
      </c>
      <c r="B11896" t="str">
        <f>"CN5392"</f>
        <v>CN5392</v>
      </c>
      <c r="C11896" t="s">
        <v>11671</v>
      </c>
    </row>
    <row r="11897" spans="1:3" x14ac:dyDescent="0.25">
      <c r="A11897" t="str">
        <f>"0611839201100"</f>
        <v>0611839201100</v>
      </c>
      <c r="B11897" t="str">
        <f>"LH7556"</f>
        <v>LH7556</v>
      </c>
      <c r="C11897" t="s">
        <v>11672</v>
      </c>
    </row>
    <row r="11898" spans="1:3" x14ac:dyDescent="0.25">
      <c r="A11898" t="str">
        <f>"0611839202025"</f>
        <v>0611839202025</v>
      </c>
      <c r="B11898" t="str">
        <f>"MC0684"</f>
        <v>MC0684</v>
      </c>
      <c r="C11898" t="s">
        <v>11673</v>
      </c>
    </row>
    <row r="11899" spans="1:3" x14ac:dyDescent="0.25">
      <c r="A11899" t="str">
        <f>"0611839203025"</f>
        <v>0611839203025</v>
      </c>
      <c r="B11899" t="str">
        <f>"MC1374"</f>
        <v>MC1374</v>
      </c>
      <c r="C11899" t="s">
        <v>11674</v>
      </c>
    </row>
    <row r="11900" spans="1:3" x14ac:dyDescent="0.25">
      <c r="A11900" t="str">
        <f>"0611864042100"</f>
        <v>0611864042100</v>
      </c>
      <c r="B11900" t="str">
        <f>"CN5386"</f>
        <v>CN5386</v>
      </c>
      <c r="C11900" t="s">
        <v>11675</v>
      </c>
    </row>
    <row r="11901" spans="1:3" x14ac:dyDescent="0.25">
      <c r="A11901" t="str">
        <f>"0611839204025"</f>
        <v>0611839204025</v>
      </c>
      <c r="B11901" t="str">
        <f>"MC3999"</f>
        <v>MC3999</v>
      </c>
      <c r="C11901" t="s">
        <v>11676</v>
      </c>
    </row>
    <row r="11902" spans="1:3" x14ac:dyDescent="0.25">
      <c r="A11902" t="str">
        <f>"0611839245100"</f>
        <v>0611839245100</v>
      </c>
      <c r="B11902" t="str">
        <f>"LH7524"</f>
        <v>LH7524</v>
      </c>
      <c r="C11902" t="s">
        <v>11677</v>
      </c>
    </row>
    <row r="11903" spans="1:3" x14ac:dyDescent="0.25">
      <c r="A11903" t="str">
        <f>"0611857104025"</f>
        <v>0611857104025</v>
      </c>
      <c r="B11903" t="str">
        <f>"MQ0805"</f>
        <v>MQ0805</v>
      </c>
      <c r="C11903" t="s">
        <v>11679</v>
      </c>
    </row>
    <row r="11904" spans="1:3" x14ac:dyDescent="0.25">
      <c r="A11904" t="str">
        <f>"0611839207025"</f>
        <v>0611839207025</v>
      </c>
      <c r="B11904" t="str">
        <f>"MQ0369"</f>
        <v>MQ0369</v>
      </c>
      <c r="C11904" t="s">
        <v>11681</v>
      </c>
    </row>
    <row r="11905" spans="1:3" x14ac:dyDescent="0.25">
      <c r="A11905" t="str">
        <f>"0611839206025"</f>
        <v>0611839206025</v>
      </c>
      <c r="B11905" t="str">
        <f>"MQ0738"</f>
        <v>MQ0738</v>
      </c>
      <c r="C11905" t="s">
        <v>11680</v>
      </c>
    </row>
    <row r="11906" spans="1:3" x14ac:dyDescent="0.25">
      <c r="A11906" t="str">
        <f>"0611839205025"</f>
        <v>0611839205025</v>
      </c>
      <c r="B11906" t="str">
        <f>"MC4235"</f>
        <v>MC4235</v>
      </c>
      <c r="C11906" t="s">
        <v>11678</v>
      </c>
    </row>
    <row r="11907" spans="1:3" x14ac:dyDescent="0.25">
      <c r="A11907" t="str">
        <f>"0611906958100"</f>
        <v>0611906958100</v>
      </c>
      <c r="B11907" t="str">
        <f>"LH8964"</f>
        <v>LH8964</v>
      </c>
      <c r="C11907" t="s">
        <v>11682</v>
      </c>
    </row>
    <row r="11908" spans="1:3" x14ac:dyDescent="0.25">
      <c r="A11908" t="str">
        <f>"0611884464100"</f>
        <v>0611884464100</v>
      </c>
      <c r="B11908" t="str">
        <f>"LF9115"</f>
        <v>LF9115</v>
      </c>
      <c r="C11908" t="s">
        <v>11683</v>
      </c>
    </row>
    <row r="11909" spans="1:3" x14ac:dyDescent="0.25">
      <c r="A11909" t="str">
        <f>"0611839209025"</f>
        <v>0611839209025</v>
      </c>
      <c r="B11909" t="str">
        <f>"MC1369"</f>
        <v>MC1369</v>
      </c>
      <c r="C11909" t="s">
        <v>11684</v>
      </c>
    </row>
    <row r="11910" spans="1:3" x14ac:dyDescent="0.25">
      <c r="A11910" t="str">
        <f>"0611839210025"</f>
        <v>0611839210025</v>
      </c>
      <c r="B11910" t="str">
        <f>"MC0680"</f>
        <v>MC0680</v>
      </c>
      <c r="C11910" t="s">
        <v>11685</v>
      </c>
    </row>
    <row r="11911" spans="1:3" x14ac:dyDescent="0.25">
      <c r="A11911" t="str">
        <f>"0611839211100"</f>
        <v>0611839211100</v>
      </c>
      <c r="B11911" t="str">
        <f>"LH8934"</f>
        <v>LH8934</v>
      </c>
      <c r="C11911" t="s">
        <v>11686</v>
      </c>
    </row>
    <row r="11912" spans="1:3" x14ac:dyDescent="0.25">
      <c r="A11912" t="str">
        <f>"0611839212025"</f>
        <v>0611839212025</v>
      </c>
      <c r="B11912" t="str">
        <f>"MC3375"</f>
        <v>MC3375</v>
      </c>
      <c r="C11912" t="s">
        <v>11687</v>
      </c>
    </row>
    <row r="11913" spans="1:3" x14ac:dyDescent="0.25">
      <c r="A11913" t="str">
        <f>"0611839214025"</f>
        <v>0611839214025</v>
      </c>
      <c r="B11913" t="str">
        <f>"MC4242"</f>
        <v>MC4242</v>
      </c>
      <c r="C11913" t="s">
        <v>11688</v>
      </c>
    </row>
    <row r="11914" spans="1:3" x14ac:dyDescent="0.25">
      <c r="A11914" t="str">
        <f>"0611839215025"</f>
        <v>0611839215025</v>
      </c>
      <c r="B11914" t="str">
        <f>"MC3808"</f>
        <v>MC3808</v>
      </c>
      <c r="C11914" t="s">
        <v>11689</v>
      </c>
    </row>
    <row r="11915" spans="1:3" x14ac:dyDescent="0.25">
      <c r="A11915" t="str">
        <f>"0611839216025"</f>
        <v>0611839216025</v>
      </c>
      <c r="B11915" t="str">
        <f>"MC3436"</f>
        <v>MC3436</v>
      </c>
      <c r="C11915" t="s">
        <v>11690</v>
      </c>
    </row>
    <row r="11916" spans="1:3" x14ac:dyDescent="0.25">
      <c r="A11916" t="str">
        <f>"0611839217025"</f>
        <v>0611839217025</v>
      </c>
      <c r="B11916" t="str">
        <f>"MC3806"</f>
        <v>MC3806</v>
      </c>
      <c r="C11916" t="s">
        <v>11691</v>
      </c>
    </row>
    <row r="11917" spans="1:3" x14ac:dyDescent="0.25">
      <c r="A11917" t="str">
        <f>"0611864044100"</f>
        <v>0611864044100</v>
      </c>
      <c r="B11917" t="str">
        <f>"CN2246"</f>
        <v>CN2246</v>
      </c>
      <c r="C11917" t="s">
        <v>11692</v>
      </c>
    </row>
    <row r="11918" spans="1:3" x14ac:dyDescent="0.25">
      <c r="A11918" t="str">
        <f>"0611839218025"</f>
        <v>0611839218025</v>
      </c>
      <c r="B11918" t="str">
        <f>"MQ9018"</f>
        <v>MQ9018</v>
      </c>
      <c r="C11918" t="s">
        <v>11693</v>
      </c>
    </row>
    <row r="11919" spans="1:3" x14ac:dyDescent="0.25">
      <c r="A11919" t="str">
        <f>"0611839219025"</f>
        <v>0611839219025</v>
      </c>
      <c r="B11919" t="str">
        <f>"MQ0739"</f>
        <v>MQ0739</v>
      </c>
      <c r="C11919" t="s">
        <v>11694</v>
      </c>
    </row>
    <row r="11920" spans="1:3" x14ac:dyDescent="0.25">
      <c r="A11920" t="str">
        <f>"0611839220025"</f>
        <v>0611839220025</v>
      </c>
      <c r="B11920" t="str">
        <f>"MC2572"</f>
        <v>MC2572</v>
      </c>
      <c r="C11920" t="s">
        <v>11695</v>
      </c>
    </row>
    <row r="11921" spans="1:3" x14ac:dyDescent="0.25">
      <c r="A11921" t="str">
        <f>"0611839221025"</f>
        <v>0611839221025</v>
      </c>
      <c r="B11921" t="str">
        <f>"MC3376"</f>
        <v>MC3376</v>
      </c>
      <c r="C11921" t="s">
        <v>11696</v>
      </c>
    </row>
    <row r="11922" spans="1:3" x14ac:dyDescent="0.25">
      <c r="A11922" t="str">
        <f>"0611839222025"</f>
        <v>0611839222025</v>
      </c>
      <c r="B11922" t="str">
        <f>"MC0915"</f>
        <v>MC0915</v>
      </c>
      <c r="C11922" t="s">
        <v>11697</v>
      </c>
    </row>
    <row r="11923" spans="1:3" x14ac:dyDescent="0.25">
      <c r="A11923" t="str">
        <f>"0611864045050"</f>
        <v>0611864045050</v>
      </c>
      <c r="B11923" t="str">
        <f>"CR4478"</f>
        <v>CR4478</v>
      </c>
      <c r="C11923" t="s">
        <v>11698</v>
      </c>
    </row>
    <row r="11924" spans="1:3" x14ac:dyDescent="0.25">
      <c r="A11924" t="str">
        <f>"0611864046050"</f>
        <v>0611864046050</v>
      </c>
      <c r="B11924" t="str">
        <f>"CR4473"</f>
        <v>CR4473</v>
      </c>
      <c r="C11924" t="s">
        <v>11699</v>
      </c>
    </row>
    <row r="11925" spans="1:3" x14ac:dyDescent="0.25">
      <c r="A11925" t="str">
        <f>"0611864047100"</f>
        <v>0611864047100</v>
      </c>
      <c r="B11925" t="str">
        <f>"CN2272"</f>
        <v>CN2272</v>
      </c>
      <c r="C11925" t="s">
        <v>11700</v>
      </c>
    </row>
    <row r="11926" spans="1:3" x14ac:dyDescent="0.25">
      <c r="A11926" t="str">
        <f>"0611839224025"</f>
        <v>0611839224025</v>
      </c>
      <c r="B11926" t="str">
        <f>"MQ0370"</f>
        <v>MQ0370</v>
      </c>
      <c r="C11926" t="s">
        <v>11701</v>
      </c>
    </row>
    <row r="11927" spans="1:3" x14ac:dyDescent="0.25">
      <c r="A11927" t="str">
        <f>"0611839225025"</f>
        <v>0611839225025</v>
      </c>
      <c r="B11927" t="str">
        <f>"MC1666"</f>
        <v>MC1666</v>
      </c>
      <c r="C11927" t="s">
        <v>11702</v>
      </c>
    </row>
    <row r="11928" spans="1:3" x14ac:dyDescent="0.25">
      <c r="A11928" t="str">
        <f>"0611857105025"</f>
        <v>0611857105025</v>
      </c>
      <c r="B11928" t="str">
        <f>"MQ0806"</f>
        <v>MQ0806</v>
      </c>
      <c r="C11928" t="s">
        <v>11703</v>
      </c>
    </row>
    <row r="11929" spans="1:3" x14ac:dyDescent="0.25">
      <c r="A11929" t="str">
        <f>"0611839226025"</f>
        <v>0611839226025</v>
      </c>
      <c r="B11929" t="str">
        <f>"MQ0740"</f>
        <v>MQ0740</v>
      </c>
      <c r="C11929" t="s">
        <v>11704</v>
      </c>
    </row>
    <row r="11930" spans="1:3" x14ac:dyDescent="0.25">
      <c r="A11930" t="str">
        <f>"0611906959025"</f>
        <v>0611906959025</v>
      </c>
      <c r="B11930" t="str">
        <f>"MQ7616"</f>
        <v>MQ7616</v>
      </c>
      <c r="C11930" t="s">
        <v>11705</v>
      </c>
    </row>
    <row r="11931" spans="1:3" x14ac:dyDescent="0.25">
      <c r="A11931" t="str">
        <f>"0611864048100"</f>
        <v>0611864048100</v>
      </c>
      <c r="B11931" t="str">
        <f>"CN2247"</f>
        <v>CN2247</v>
      </c>
      <c r="C11931" t="s">
        <v>11706</v>
      </c>
    </row>
    <row r="11932" spans="1:3" x14ac:dyDescent="0.25">
      <c r="A11932" t="str">
        <f>"0611839227025"</f>
        <v>0611839227025</v>
      </c>
      <c r="B11932" t="str">
        <f>"MC1378"</f>
        <v>MC1378</v>
      </c>
      <c r="C11932" t="s">
        <v>11707</v>
      </c>
    </row>
    <row r="11933" spans="1:3" x14ac:dyDescent="0.25">
      <c r="A11933" t="str">
        <f>"0611839228025"</f>
        <v>0611839228025</v>
      </c>
      <c r="B11933" t="str">
        <f>"MC3202"</f>
        <v>MC3202</v>
      </c>
      <c r="C11933" t="s">
        <v>11708</v>
      </c>
    </row>
    <row r="11934" spans="1:3" x14ac:dyDescent="0.25">
      <c r="A11934" t="str">
        <f>"0611839229025"</f>
        <v>0611839229025</v>
      </c>
      <c r="B11934" t="str">
        <f>"MC3318"</f>
        <v>MC3318</v>
      </c>
      <c r="C11934" t="s">
        <v>11709</v>
      </c>
    </row>
    <row r="11935" spans="1:3" x14ac:dyDescent="0.25">
      <c r="A11935" t="str">
        <f>"0611839230025"</f>
        <v>0611839230025</v>
      </c>
      <c r="B11935" t="str">
        <f>"MC4238"</f>
        <v>MC4238</v>
      </c>
      <c r="C11935" t="s">
        <v>11710</v>
      </c>
    </row>
    <row r="11936" spans="1:3" x14ac:dyDescent="0.25">
      <c r="A11936" t="str">
        <f>"0611839231025"</f>
        <v>0611839231025</v>
      </c>
      <c r="B11936" t="str">
        <f>"MQ0371"</f>
        <v>MQ0371</v>
      </c>
      <c r="C11936" t="s">
        <v>11711</v>
      </c>
    </row>
    <row r="11937" spans="1:3" x14ac:dyDescent="0.25">
      <c r="A11937" t="str">
        <f>"0611839232025"</f>
        <v>0611839232025</v>
      </c>
      <c r="B11937" t="str">
        <f>"MQ0373"</f>
        <v>MQ0373</v>
      </c>
      <c r="C11937" t="s">
        <v>11712</v>
      </c>
    </row>
    <row r="11938" spans="1:3" x14ac:dyDescent="0.25">
      <c r="A11938" t="str">
        <f>"0611839235025"</f>
        <v>0611839235025</v>
      </c>
      <c r="B11938" t="str">
        <f>"MQ0741"</f>
        <v>MQ0741</v>
      </c>
      <c r="C11938" t="s">
        <v>11713</v>
      </c>
    </row>
    <row r="11939" spans="1:3" x14ac:dyDescent="0.25">
      <c r="A11939" t="str">
        <f>"0611839237100"</f>
        <v>0611839237100</v>
      </c>
      <c r="B11939" t="str">
        <f>"LF0014"</f>
        <v>LF0014</v>
      </c>
      <c r="C11939" t="s">
        <v>11714</v>
      </c>
    </row>
    <row r="11940" spans="1:3" x14ac:dyDescent="0.25">
      <c r="A11940" t="str">
        <f>"0611839239025"</f>
        <v>0611839239025</v>
      </c>
      <c r="B11940" t="str">
        <f>"MQ0556"</f>
        <v>MQ0556</v>
      </c>
      <c r="C11940" t="s">
        <v>11715</v>
      </c>
    </row>
    <row r="11941" spans="1:3" x14ac:dyDescent="0.25">
      <c r="A11941" t="str">
        <f>"0611839241025"</f>
        <v>0611839241025</v>
      </c>
      <c r="B11941" t="str">
        <f>"MC1370"</f>
        <v>MC1370</v>
      </c>
      <c r="C11941" t="s">
        <v>11716</v>
      </c>
    </row>
    <row r="11942" spans="1:3" x14ac:dyDescent="0.25">
      <c r="A11942" t="str">
        <f>"0611839242100"</f>
        <v>0611839242100</v>
      </c>
      <c r="B11942" t="str">
        <f>"LH7647"</f>
        <v>LH7647</v>
      </c>
      <c r="C11942" t="s">
        <v>11717</v>
      </c>
    </row>
    <row r="11943" spans="1:3" x14ac:dyDescent="0.25">
      <c r="A11943" t="str">
        <f>"0611857106025"</f>
        <v>0611857106025</v>
      </c>
      <c r="B11943" t="str">
        <f>"MQ0807"</f>
        <v>MQ0807</v>
      </c>
      <c r="C11943" t="s">
        <v>11718</v>
      </c>
    </row>
    <row r="11944" spans="1:3" x14ac:dyDescent="0.25">
      <c r="A11944" t="str">
        <f>"0611839243025"</f>
        <v>0611839243025</v>
      </c>
      <c r="B11944" t="str">
        <f>"MQ0742"</f>
        <v>MQ0742</v>
      </c>
      <c r="C11944" t="s">
        <v>11719</v>
      </c>
    </row>
    <row r="11945" spans="1:3" x14ac:dyDescent="0.25">
      <c r="A11945" t="str">
        <f>"0611839244100"</f>
        <v>0611839244100</v>
      </c>
      <c r="B11945" t="str">
        <f>"LH0010"</f>
        <v>LH0010</v>
      </c>
      <c r="C11945" t="s">
        <v>11720</v>
      </c>
    </row>
    <row r="11946" spans="1:3" x14ac:dyDescent="0.25">
      <c r="A11946" t="str">
        <f>"0611839246025"</f>
        <v>0611839246025</v>
      </c>
      <c r="B11946" t="str">
        <f>"MC1483"</f>
        <v>MC1483</v>
      </c>
      <c r="C11946" t="s">
        <v>11721</v>
      </c>
    </row>
    <row r="11947" spans="1:3" x14ac:dyDescent="0.25">
      <c r="A11947" t="str">
        <f>"0611906960025"</f>
        <v>0611906960025</v>
      </c>
      <c r="B11947" t="str">
        <f>"MQ7617"</f>
        <v>MQ7617</v>
      </c>
      <c r="C11947" t="s">
        <v>11722</v>
      </c>
    </row>
    <row r="11948" spans="1:3" x14ac:dyDescent="0.25">
      <c r="A11948" t="str">
        <f>"0611864050050"</f>
        <v>0611864050050</v>
      </c>
      <c r="B11948" t="str">
        <f>"CR4474"</f>
        <v>CR4474</v>
      </c>
      <c r="C11948" t="s">
        <v>11723</v>
      </c>
    </row>
    <row r="11949" spans="1:3" x14ac:dyDescent="0.25">
      <c r="A11949" t="str">
        <f>"0611839247025"</f>
        <v>0611839247025</v>
      </c>
      <c r="B11949" t="str">
        <f>"MC2782"</f>
        <v>MC2782</v>
      </c>
      <c r="C11949" t="s">
        <v>11724</v>
      </c>
    </row>
    <row r="11950" spans="1:3" x14ac:dyDescent="0.25">
      <c r="A11950" t="str">
        <f>"0611884465100"</f>
        <v>0611884465100</v>
      </c>
      <c r="B11950" t="str">
        <f>"LQ3942"</f>
        <v>LQ3942</v>
      </c>
      <c r="C11950" t="s">
        <v>11725</v>
      </c>
    </row>
    <row r="11951" spans="1:3" x14ac:dyDescent="0.25">
      <c r="A11951" t="str">
        <f>"0611884466100"</f>
        <v>0611884466100</v>
      </c>
      <c r="B11951" t="str">
        <f>"LQ3943"</f>
        <v>LQ3943</v>
      </c>
      <c r="C11951" t="s">
        <v>11726</v>
      </c>
    </row>
    <row r="11952" spans="1:3" x14ac:dyDescent="0.25">
      <c r="A11952" t="str">
        <f>"0611839249025"</f>
        <v>0611839249025</v>
      </c>
      <c r="B11952" t="str">
        <f>"MC3203"</f>
        <v>MC3203</v>
      </c>
      <c r="C11952" t="s">
        <v>11727</v>
      </c>
    </row>
    <row r="11953" spans="1:3" x14ac:dyDescent="0.25">
      <c r="A11953" t="str">
        <f>"0611906961025"</f>
        <v>0611906961025</v>
      </c>
      <c r="B11953" t="str">
        <f>"MC4544"</f>
        <v>MC4544</v>
      </c>
      <c r="C11953" t="s">
        <v>11746</v>
      </c>
    </row>
    <row r="11954" spans="1:3" x14ac:dyDescent="0.25">
      <c r="A11954" t="str">
        <f>"0611839259025"</f>
        <v>0611839259025</v>
      </c>
      <c r="B11954" t="str">
        <f>"MC2574"</f>
        <v>MC2574</v>
      </c>
      <c r="C11954" t="s">
        <v>11747</v>
      </c>
    </row>
    <row r="11955" spans="1:3" x14ac:dyDescent="0.25">
      <c r="A11955" t="str">
        <f>"0611864062050"</f>
        <v>0611864062050</v>
      </c>
      <c r="B11955" t="str">
        <f>"CE1253"</f>
        <v>CE1253</v>
      </c>
      <c r="C11955" t="s">
        <v>11748</v>
      </c>
    </row>
    <row r="11956" spans="1:3" x14ac:dyDescent="0.25">
      <c r="A11956" t="str">
        <f>"0611839260025"</f>
        <v>0611839260025</v>
      </c>
      <c r="B11956" t="str">
        <f>"MQ0632"</f>
        <v>MQ0632</v>
      </c>
      <c r="C11956" t="s">
        <v>11749</v>
      </c>
    </row>
    <row r="11957" spans="1:3" x14ac:dyDescent="0.25">
      <c r="A11957" t="str">
        <f>"0611839261025"</f>
        <v>0611839261025</v>
      </c>
      <c r="B11957" t="str">
        <f>"MQ0633"</f>
        <v>MQ0633</v>
      </c>
      <c r="C11957" t="s">
        <v>11750</v>
      </c>
    </row>
    <row r="11958" spans="1:3" x14ac:dyDescent="0.25">
      <c r="A11958" t="str">
        <f>"0611906962025"</f>
        <v>0611906962025</v>
      </c>
      <c r="B11958" t="str">
        <f>"MC4570"</f>
        <v>MC4570</v>
      </c>
      <c r="C11958" t="s">
        <v>11751</v>
      </c>
    </row>
    <row r="11959" spans="1:3" x14ac:dyDescent="0.25">
      <c r="A11959" t="str">
        <f>"0611864063050"</f>
        <v>0611864063050</v>
      </c>
      <c r="B11959" t="str">
        <f>"CR4468"</f>
        <v>CR4468</v>
      </c>
      <c r="C11959" t="s">
        <v>13943</v>
      </c>
    </row>
    <row r="11960" spans="1:3" x14ac:dyDescent="0.25">
      <c r="A11960" t="str">
        <f>"0611839263025"</f>
        <v>0611839263025</v>
      </c>
      <c r="B11960" t="str">
        <f>"MQ0743"</f>
        <v>MQ0743</v>
      </c>
      <c r="C11960" t="s">
        <v>11752</v>
      </c>
    </row>
    <row r="11961" spans="1:3" x14ac:dyDescent="0.25">
      <c r="A11961" t="str">
        <f>"0611839264025"</f>
        <v>0611839264025</v>
      </c>
      <c r="B11961" t="str">
        <f>"MC2085"</f>
        <v>MC2085</v>
      </c>
      <c r="C11961" t="s">
        <v>11753</v>
      </c>
    </row>
    <row r="11962" spans="1:3" x14ac:dyDescent="0.25">
      <c r="A11962" t="str">
        <f>"0611839265025"</f>
        <v>0611839265025</v>
      </c>
      <c r="B11962" t="str">
        <f>"MC4243"</f>
        <v>MC4243</v>
      </c>
      <c r="C11962" t="s">
        <v>11728</v>
      </c>
    </row>
    <row r="11963" spans="1:3" x14ac:dyDescent="0.25">
      <c r="A11963" t="str">
        <f>"0611864051100"</f>
        <v>0611864051100</v>
      </c>
      <c r="B11963" t="str">
        <f>"CN5379"</f>
        <v>CN5379</v>
      </c>
      <c r="C11963" t="s">
        <v>11729</v>
      </c>
    </row>
    <row r="11964" spans="1:3" x14ac:dyDescent="0.25">
      <c r="A11964" t="str">
        <f>"0611864052100"</f>
        <v>0611864052100</v>
      </c>
      <c r="B11964" t="str">
        <f>"CN5380"</f>
        <v>CN5380</v>
      </c>
      <c r="C11964" t="s">
        <v>11730</v>
      </c>
    </row>
    <row r="11965" spans="1:3" x14ac:dyDescent="0.25">
      <c r="A11965" t="str">
        <f>"0611839250025"</f>
        <v>0611839250025</v>
      </c>
      <c r="B11965" t="str">
        <f>"MQ3041"</f>
        <v>MQ3041</v>
      </c>
      <c r="C11965" t="s">
        <v>11731</v>
      </c>
    </row>
    <row r="11966" spans="1:3" x14ac:dyDescent="0.25">
      <c r="A11966" t="str">
        <f>"0611864053100"</f>
        <v>0611864053100</v>
      </c>
      <c r="B11966" t="str">
        <f>"CN5381"</f>
        <v>CN5381</v>
      </c>
      <c r="C11966" t="s">
        <v>11732</v>
      </c>
    </row>
    <row r="11967" spans="1:3" x14ac:dyDescent="0.25">
      <c r="A11967" t="str">
        <f>"0611839251025"</f>
        <v>0611839251025</v>
      </c>
      <c r="B11967" t="str">
        <f>"MQ3094"</f>
        <v>MQ3094</v>
      </c>
      <c r="C11967" t="s">
        <v>11733</v>
      </c>
    </row>
    <row r="11968" spans="1:3" x14ac:dyDescent="0.25">
      <c r="A11968" t="str">
        <f>"0611857107025"</f>
        <v>0611857107025</v>
      </c>
      <c r="B11968" t="str">
        <f>"MC4447"</f>
        <v>MC4447</v>
      </c>
      <c r="C11968" t="s">
        <v>11734</v>
      </c>
    </row>
    <row r="11969" spans="1:3" x14ac:dyDescent="0.25">
      <c r="A11969" t="str">
        <f>"0611864054100"</f>
        <v>0611864054100</v>
      </c>
      <c r="B11969" t="str">
        <f>"CN5382"</f>
        <v>CN5382</v>
      </c>
      <c r="C11969" t="s">
        <v>11735</v>
      </c>
    </row>
    <row r="11970" spans="1:3" x14ac:dyDescent="0.25">
      <c r="A11970" t="str">
        <f>"0611839252025"</f>
        <v>0611839252025</v>
      </c>
      <c r="B11970" t="str">
        <f>"MQ3042"</f>
        <v>MQ3042</v>
      </c>
      <c r="C11970" t="s">
        <v>11736</v>
      </c>
    </row>
    <row r="11971" spans="1:3" x14ac:dyDescent="0.25">
      <c r="A11971" t="str">
        <f>"0611839253025"</f>
        <v>0611839253025</v>
      </c>
      <c r="B11971" t="str">
        <f>"MC4244"</f>
        <v>MC4244</v>
      </c>
      <c r="C11971" t="s">
        <v>11737</v>
      </c>
    </row>
    <row r="11972" spans="1:3" x14ac:dyDescent="0.25">
      <c r="A11972" t="str">
        <f>"0611839254025"</f>
        <v>0611839254025</v>
      </c>
      <c r="B11972" t="str">
        <f>"MQ0456"</f>
        <v>MQ0456</v>
      </c>
      <c r="C11972" t="s">
        <v>11738</v>
      </c>
    </row>
    <row r="11973" spans="1:3" x14ac:dyDescent="0.25">
      <c r="A11973" t="str">
        <f>"0611864057100"</f>
        <v>0611864057100</v>
      </c>
      <c r="B11973" t="str">
        <f>"CN5384"</f>
        <v>CN5384</v>
      </c>
      <c r="C11973" t="s">
        <v>11739</v>
      </c>
    </row>
    <row r="11974" spans="1:3" x14ac:dyDescent="0.25">
      <c r="A11974" t="str">
        <f>"0611864059100"</f>
        <v>0611864059100</v>
      </c>
      <c r="B11974" t="str">
        <f>"CN5385"</f>
        <v>CN5385</v>
      </c>
      <c r="C11974" t="s">
        <v>11740</v>
      </c>
    </row>
    <row r="11975" spans="1:3" x14ac:dyDescent="0.25">
      <c r="A11975" t="str">
        <f>"0611839255025"</f>
        <v>0611839255025</v>
      </c>
      <c r="B11975" t="str">
        <f>"MQ3095"</f>
        <v>MQ3095</v>
      </c>
      <c r="C11975" t="s">
        <v>11741</v>
      </c>
    </row>
    <row r="11976" spans="1:3" x14ac:dyDescent="0.25">
      <c r="A11976" t="str">
        <f>"0611864060100"</f>
        <v>0611864060100</v>
      </c>
      <c r="B11976" t="str">
        <f>"CN2389"</f>
        <v>CN2389</v>
      </c>
      <c r="C11976" t="s">
        <v>11742</v>
      </c>
    </row>
    <row r="11977" spans="1:3" x14ac:dyDescent="0.25">
      <c r="A11977" t="str">
        <f>"0611839256025"</f>
        <v>0611839256025</v>
      </c>
      <c r="B11977" t="str">
        <f>"MQ0536"</f>
        <v>MQ0536</v>
      </c>
      <c r="C11977" t="s">
        <v>11743</v>
      </c>
    </row>
    <row r="11978" spans="1:3" x14ac:dyDescent="0.25">
      <c r="A11978" t="str">
        <f>"0611864061100"</f>
        <v>0611864061100</v>
      </c>
      <c r="B11978" t="str">
        <f>"CN2390"</f>
        <v>CN2390</v>
      </c>
      <c r="C11978" t="s">
        <v>11744</v>
      </c>
    </row>
    <row r="11979" spans="1:3" x14ac:dyDescent="0.25">
      <c r="A11979" t="str">
        <f>"0611839257025"</f>
        <v>0611839257025</v>
      </c>
      <c r="B11979" t="str">
        <f>"MQ0535"</f>
        <v>MQ0535</v>
      </c>
      <c r="C11979" t="s">
        <v>11745</v>
      </c>
    </row>
    <row r="11980" spans="1:3" x14ac:dyDescent="0.25">
      <c r="A11980" t="str">
        <f>"0611839267025"</f>
        <v>0611839267025</v>
      </c>
      <c r="B11980" t="str">
        <f>"MC3807"</f>
        <v>MC3807</v>
      </c>
      <c r="C11980" t="s">
        <v>11754</v>
      </c>
    </row>
    <row r="11981" spans="1:3" x14ac:dyDescent="0.25">
      <c r="A11981" t="str">
        <f>"0611839268025"</f>
        <v>0611839268025</v>
      </c>
      <c r="B11981" t="str">
        <f>"MQ6086"</f>
        <v>MQ6086</v>
      </c>
      <c r="C11981" t="s">
        <v>11755</v>
      </c>
    </row>
    <row r="11982" spans="1:3" x14ac:dyDescent="0.25">
      <c r="A11982" t="str">
        <f>"0611839269025"</f>
        <v>0611839269025</v>
      </c>
      <c r="B11982" t="str">
        <f>"MQ6087"</f>
        <v>MQ6087</v>
      </c>
      <c r="C11982" t="s">
        <v>11756</v>
      </c>
    </row>
    <row r="11983" spans="1:3" x14ac:dyDescent="0.25">
      <c r="A11983" t="str">
        <f>"0611914105100"</f>
        <v>0611914105100</v>
      </c>
      <c r="B11983" t="str">
        <f>"LH8935"</f>
        <v>LH8935</v>
      </c>
      <c r="C11983" t="s">
        <v>13944</v>
      </c>
    </row>
    <row r="11984" spans="1:3" x14ac:dyDescent="0.25">
      <c r="A11984" t="str">
        <f>"0611864064100"</f>
        <v>0611864064100</v>
      </c>
      <c r="B11984" t="str">
        <f>"CN5393"</f>
        <v>CN5393</v>
      </c>
      <c r="C11984" t="s">
        <v>11757</v>
      </c>
    </row>
    <row r="11985" spans="1:3" x14ac:dyDescent="0.25">
      <c r="A11985" t="str">
        <f>"0611839271025"</f>
        <v>0611839271025</v>
      </c>
      <c r="B11985" t="str">
        <f>"MC0685"</f>
        <v>MC0685</v>
      </c>
      <c r="C11985" t="s">
        <v>11758</v>
      </c>
    </row>
    <row r="11986" spans="1:3" x14ac:dyDescent="0.25">
      <c r="A11986" t="str">
        <f>"0611864065050"</f>
        <v>0611864065050</v>
      </c>
      <c r="B11986" t="str">
        <f>"CR4476"</f>
        <v>CR4476</v>
      </c>
      <c r="C11986" t="s">
        <v>11759</v>
      </c>
    </row>
    <row r="11987" spans="1:3" x14ac:dyDescent="0.25">
      <c r="A11987" t="str">
        <f>"0611839270100"</f>
        <v>0611839270100</v>
      </c>
      <c r="B11987" t="str">
        <f>"LH8935"</f>
        <v>LH8935</v>
      </c>
      <c r="C11987" t="s">
        <v>13945</v>
      </c>
    </row>
    <row r="11988" spans="1:3" x14ac:dyDescent="0.25">
      <c r="A11988" t="str">
        <f>"0611839272025"</f>
        <v>0611839272025</v>
      </c>
      <c r="B11988" t="str">
        <f>"MC3250"</f>
        <v>MC3250</v>
      </c>
      <c r="C11988" t="s">
        <v>11760</v>
      </c>
    </row>
    <row r="11989" spans="1:3" x14ac:dyDescent="0.25">
      <c r="A11989" t="str">
        <f>"0611839273100"</f>
        <v>0611839273100</v>
      </c>
      <c r="B11989" t="str">
        <f>"LH7526"</f>
        <v>LH7526</v>
      </c>
      <c r="C11989" t="s">
        <v>11761</v>
      </c>
    </row>
    <row r="11990" spans="1:3" x14ac:dyDescent="0.25">
      <c r="A11990" t="str">
        <f>"0611839274025"</f>
        <v>0611839274025</v>
      </c>
      <c r="B11990" t="str">
        <f>"MC0681"</f>
        <v>MC0681</v>
      </c>
      <c r="C11990" t="s">
        <v>11762</v>
      </c>
    </row>
    <row r="11991" spans="1:3" x14ac:dyDescent="0.25">
      <c r="A11991" t="str">
        <f>"0611864066100"</f>
        <v>0611864066100</v>
      </c>
      <c r="B11991" t="str">
        <f>"CN5388"</f>
        <v>CN5388</v>
      </c>
      <c r="C11991" t="s">
        <v>11763</v>
      </c>
    </row>
    <row r="11992" spans="1:3" x14ac:dyDescent="0.25">
      <c r="A11992" t="str">
        <f>"0611839275025"</f>
        <v>0611839275025</v>
      </c>
      <c r="B11992" t="str">
        <f>"MC0679"</f>
        <v>MC0679</v>
      </c>
      <c r="C11992" t="s">
        <v>11764</v>
      </c>
    </row>
    <row r="11993" spans="1:3" x14ac:dyDescent="0.25">
      <c r="A11993" t="str">
        <f>"0611839276025"</f>
        <v>0611839276025</v>
      </c>
      <c r="B11993" t="str">
        <f>"MC2086"</f>
        <v>MC2086</v>
      </c>
      <c r="C11993" t="s">
        <v>11765</v>
      </c>
    </row>
    <row r="11994" spans="1:3" x14ac:dyDescent="0.25">
      <c r="A11994" t="str">
        <f>"0611839277100"</f>
        <v>0611839277100</v>
      </c>
      <c r="B11994" t="str">
        <f>"LH7528"</f>
        <v>LH7528</v>
      </c>
      <c r="C11994" t="s">
        <v>11766</v>
      </c>
    </row>
    <row r="11995" spans="1:3" x14ac:dyDescent="0.25">
      <c r="A11995" t="str">
        <f>"0611839278025"</f>
        <v>0611839278025</v>
      </c>
      <c r="B11995" t="str">
        <f>"MQ0375"</f>
        <v>MQ0375</v>
      </c>
      <c r="C11995" t="s">
        <v>11767</v>
      </c>
    </row>
    <row r="11996" spans="1:3" x14ac:dyDescent="0.25">
      <c r="A11996" t="str">
        <f>"0611857108025"</f>
        <v>0611857108025</v>
      </c>
      <c r="B11996" t="str">
        <f>"MQ0808"</f>
        <v>MQ0808</v>
      </c>
      <c r="C11996" t="s">
        <v>11768</v>
      </c>
    </row>
    <row r="11997" spans="1:3" x14ac:dyDescent="0.25">
      <c r="A11997" t="str">
        <f>"0611839279100"</f>
        <v>0611839279100</v>
      </c>
      <c r="B11997" t="str">
        <f>"LQ3365"</f>
        <v>LQ3365</v>
      </c>
      <c r="C11997" t="s">
        <v>11769</v>
      </c>
    </row>
    <row r="11998" spans="1:3" x14ac:dyDescent="0.25">
      <c r="A11998" t="str">
        <f>"0611857109025"</f>
        <v>0611857109025</v>
      </c>
      <c r="B11998" t="str">
        <f>"MQ0809"</f>
        <v>MQ0809</v>
      </c>
      <c r="C11998" t="s">
        <v>11770</v>
      </c>
    </row>
    <row r="11999" spans="1:3" x14ac:dyDescent="0.25">
      <c r="A11999" t="str">
        <f>"0611864068100"</f>
        <v>0611864068100</v>
      </c>
      <c r="B11999" t="str">
        <f>"CN2248"</f>
        <v>CN2248</v>
      </c>
      <c r="C11999" t="s">
        <v>11771</v>
      </c>
    </row>
    <row r="12000" spans="1:3" x14ac:dyDescent="0.25">
      <c r="A12000" t="str">
        <f>"0611839280025"</f>
        <v>0611839280025</v>
      </c>
      <c r="B12000" t="str">
        <f>"MC4029"</f>
        <v>MC4029</v>
      </c>
      <c r="C12000" t="s">
        <v>11772</v>
      </c>
    </row>
    <row r="12001" spans="1:3" x14ac:dyDescent="0.25">
      <c r="A12001" t="str">
        <f>"0611864069100"</f>
        <v>0611864069100</v>
      </c>
      <c r="B12001" t="str">
        <f>"CN2249"</f>
        <v>CN2249</v>
      </c>
      <c r="C12001" t="s">
        <v>11773</v>
      </c>
    </row>
    <row r="12002" spans="1:3" x14ac:dyDescent="0.25">
      <c r="A12002" t="str">
        <f>"0611839281025"</f>
        <v>0611839281025</v>
      </c>
      <c r="B12002" t="str">
        <f>"MC4247"</f>
        <v>MC4247</v>
      </c>
      <c r="C12002" t="s">
        <v>11774</v>
      </c>
    </row>
    <row r="12003" spans="1:3" x14ac:dyDescent="0.25">
      <c r="A12003" t="str">
        <f>"0611864070100"</f>
        <v>0611864070100</v>
      </c>
      <c r="B12003" t="str">
        <f>"CN2250"</f>
        <v>CN2250</v>
      </c>
      <c r="C12003" t="s">
        <v>11775</v>
      </c>
    </row>
    <row r="12004" spans="1:3" x14ac:dyDescent="0.25">
      <c r="A12004" t="str">
        <f>"0611839282025"</f>
        <v>0611839282025</v>
      </c>
      <c r="B12004" t="str">
        <f>"MC0687"</f>
        <v>MC0687</v>
      </c>
      <c r="C12004" t="s">
        <v>11776</v>
      </c>
    </row>
    <row r="12005" spans="1:3" x14ac:dyDescent="0.25">
      <c r="A12005" t="str">
        <f>"0611839284025"</f>
        <v>0611839284025</v>
      </c>
      <c r="B12005" t="str">
        <f>"MC4088"</f>
        <v>MC4088</v>
      </c>
      <c r="C12005" t="s">
        <v>11777</v>
      </c>
    </row>
    <row r="12006" spans="1:3" x14ac:dyDescent="0.25">
      <c r="A12006" t="str">
        <f>"0611864072100"</f>
        <v>0611864072100</v>
      </c>
      <c r="B12006" t="str">
        <f>"CN2252"</f>
        <v>CN2252</v>
      </c>
      <c r="C12006" t="s">
        <v>11778</v>
      </c>
    </row>
    <row r="12007" spans="1:3" x14ac:dyDescent="0.25">
      <c r="A12007" t="str">
        <f>"0611839288100"</f>
        <v>0611839288100</v>
      </c>
      <c r="B12007" t="str">
        <f>"LH8853"</f>
        <v>LH8853</v>
      </c>
      <c r="C12007" t="s">
        <v>11779</v>
      </c>
    </row>
    <row r="12008" spans="1:3" x14ac:dyDescent="0.25">
      <c r="A12008" t="str">
        <f>"0611839289025"</f>
        <v>0611839289025</v>
      </c>
      <c r="B12008" t="str">
        <f>"MC4251"</f>
        <v>MC4251</v>
      </c>
      <c r="C12008" t="s">
        <v>11780</v>
      </c>
    </row>
    <row r="12009" spans="1:3" x14ac:dyDescent="0.25">
      <c r="A12009" t="str">
        <f>"0611839290100"</f>
        <v>0611839290100</v>
      </c>
      <c r="B12009" t="str">
        <f>"LH7737"</f>
        <v>LH7737</v>
      </c>
      <c r="C12009" t="s">
        <v>11781</v>
      </c>
    </row>
    <row r="12010" spans="1:3" x14ac:dyDescent="0.25">
      <c r="A12010" t="str">
        <f>"0611839291025"</f>
        <v>0611839291025</v>
      </c>
      <c r="B12010" t="str">
        <f>"MC0686"</f>
        <v>MC0686</v>
      </c>
      <c r="C12010" t="s">
        <v>11782</v>
      </c>
    </row>
    <row r="12011" spans="1:3" x14ac:dyDescent="0.25">
      <c r="A12011" t="str">
        <f>"0611861906050"</f>
        <v>0611861906050</v>
      </c>
      <c r="B12011" t="str">
        <f>"CE1699"</f>
        <v>CE1699</v>
      </c>
      <c r="C12011" t="s">
        <v>4437</v>
      </c>
    </row>
    <row r="12012" spans="1:3" x14ac:dyDescent="0.25">
      <c r="A12012" t="str">
        <f>"0611839292025"</f>
        <v>0611839292025</v>
      </c>
      <c r="B12012" t="str">
        <f>"MC4389"</f>
        <v>MC4389</v>
      </c>
      <c r="C12012" t="s">
        <v>11783</v>
      </c>
    </row>
    <row r="12013" spans="1:3" x14ac:dyDescent="0.25">
      <c r="A12013" t="str">
        <f>"0611839293025"</f>
        <v>0611839293025</v>
      </c>
      <c r="B12013" t="str">
        <f>"MC4033"</f>
        <v>MC4033</v>
      </c>
      <c r="C12013" t="s">
        <v>11784</v>
      </c>
    </row>
    <row r="12014" spans="1:3" x14ac:dyDescent="0.25">
      <c r="A12014" t="str">
        <f>"0611839294025"</f>
        <v>0611839294025</v>
      </c>
      <c r="B12014" t="str">
        <f>"MC4034"</f>
        <v>MC4034</v>
      </c>
      <c r="C12014" t="s">
        <v>11785</v>
      </c>
    </row>
    <row r="12015" spans="1:3" x14ac:dyDescent="0.25">
      <c r="A12015" t="str">
        <f>"0611864073100"</f>
        <v>0611864073100</v>
      </c>
      <c r="B12015" t="str">
        <f>"CN2260"</f>
        <v>CN2260</v>
      </c>
      <c r="C12015" t="s">
        <v>11786</v>
      </c>
    </row>
    <row r="12016" spans="1:3" x14ac:dyDescent="0.25">
      <c r="A12016" t="str">
        <f>"0611839295025"</f>
        <v>0611839295025</v>
      </c>
      <c r="B12016" t="str">
        <f>"MC4252"</f>
        <v>MC4252</v>
      </c>
      <c r="C12016" t="s">
        <v>11787</v>
      </c>
    </row>
    <row r="12017" spans="1:3" x14ac:dyDescent="0.25">
      <c r="A12017" t="str">
        <f>"0611864074100"</f>
        <v>0611864074100</v>
      </c>
      <c r="B12017" t="str">
        <f>"CN2253"</f>
        <v>CN2253</v>
      </c>
      <c r="C12017" t="s">
        <v>11788</v>
      </c>
    </row>
    <row r="12018" spans="1:3" x14ac:dyDescent="0.25">
      <c r="A12018" t="str">
        <f>"0611839296100"</f>
        <v>0611839296100</v>
      </c>
      <c r="B12018" t="str">
        <f>"LH7796"</f>
        <v>LH7796</v>
      </c>
      <c r="C12018" t="s">
        <v>11789</v>
      </c>
    </row>
    <row r="12019" spans="1:3" x14ac:dyDescent="0.25">
      <c r="A12019" t="str">
        <f>"0611839297025"</f>
        <v>0611839297025</v>
      </c>
      <c r="B12019" t="str">
        <f>"MC2213"</f>
        <v>MC2213</v>
      </c>
      <c r="C12019" t="s">
        <v>11790</v>
      </c>
    </row>
    <row r="12020" spans="1:3" x14ac:dyDescent="0.25">
      <c r="A12020" t="str">
        <f>"0611864076100"</f>
        <v>0611864076100</v>
      </c>
      <c r="B12020" t="str">
        <f>"CN2255"</f>
        <v>CN2255</v>
      </c>
      <c r="C12020" t="s">
        <v>11791</v>
      </c>
    </row>
    <row r="12021" spans="1:3" x14ac:dyDescent="0.25">
      <c r="A12021" t="str">
        <f>"0611864077100"</f>
        <v>0611864077100</v>
      </c>
      <c r="B12021" t="str">
        <f>"CN2256"</f>
        <v>CN2256</v>
      </c>
      <c r="C12021" t="s">
        <v>11792</v>
      </c>
    </row>
    <row r="12022" spans="1:3" x14ac:dyDescent="0.25">
      <c r="A12022" t="str">
        <f>"0611839300100"</f>
        <v>0611839300100</v>
      </c>
      <c r="B12022" t="str">
        <f>"LH8854"</f>
        <v>LH8854</v>
      </c>
      <c r="C12022" t="s">
        <v>11793</v>
      </c>
    </row>
    <row r="12023" spans="1:3" x14ac:dyDescent="0.25">
      <c r="A12023" t="str">
        <f>"0611864078100"</f>
        <v>0611864078100</v>
      </c>
      <c r="B12023" t="str">
        <f>"CN2261"</f>
        <v>CN2261</v>
      </c>
      <c r="C12023" t="s">
        <v>11794</v>
      </c>
    </row>
    <row r="12024" spans="1:3" x14ac:dyDescent="0.25">
      <c r="A12024" t="str">
        <f>"0611839301025"</f>
        <v>0611839301025</v>
      </c>
      <c r="B12024" t="str">
        <f>"MC1381"</f>
        <v>MC1381</v>
      </c>
      <c r="C12024" t="s">
        <v>11795</v>
      </c>
    </row>
    <row r="12025" spans="1:3" x14ac:dyDescent="0.25">
      <c r="A12025" t="str">
        <f>"0611839303025"</f>
        <v>0611839303025</v>
      </c>
      <c r="B12025" t="str">
        <f>"MC3404"</f>
        <v>MC3404</v>
      </c>
      <c r="C12025" t="s">
        <v>11796</v>
      </c>
    </row>
    <row r="12026" spans="1:3" x14ac:dyDescent="0.25">
      <c r="A12026" t="str">
        <f>"0611839304025"</f>
        <v>0611839304025</v>
      </c>
      <c r="B12026" t="str">
        <f>"MC4037"</f>
        <v>MC4037</v>
      </c>
      <c r="C12026" t="s">
        <v>11797</v>
      </c>
    </row>
    <row r="12027" spans="1:3" x14ac:dyDescent="0.25">
      <c r="A12027" t="str">
        <f>"0611839306025"</f>
        <v>0611839306025</v>
      </c>
      <c r="B12027" t="str">
        <f>"MC4038"</f>
        <v>MC4038</v>
      </c>
      <c r="C12027" t="s">
        <v>11798</v>
      </c>
    </row>
    <row r="12028" spans="1:3" x14ac:dyDescent="0.25">
      <c r="A12028" t="str">
        <f>"0611839307025"</f>
        <v>0611839307025</v>
      </c>
      <c r="B12028" t="str">
        <f>"MC0919"</f>
        <v>MC0919</v>
      </c>
      <c r="C12028" t="s">
        <v>11799</v>
      </c>
    </row>
    <row r="12029" spans="1:3" x14ac:dyDescent="0.25">
      <c r="A12029" t="str">
        <f>"0611839308025"</f>
        <v>0611839308025</v>
      </c>
      <c r="B12029" t="str">
        <f>"MC4254"</f>
        <v>MC4254</v>
      </c>
      <c r="C12029" t="s">
        <v>11800</v>
      </c>
    </row>
    <row r="12030" spans="1:3" x14ac:dyDescent="0.25">
      <c r="A12030" t="str">
        <f>"0611864080100"</f>
        <v>0611864080100</v>
      </c>
      <c r="B12030" t="str">
        <f>"CN2263"</f>
        <v>CN2263</v>
      </c>
      <c r="C12030" t="s">
        <v>11801</v>
      </c>
    </row>
    <row r="12031" spans="1:3" x14ac:dyDescent="0.25">
      <c r="A12031" t="str">
        <f>"0611839309025"</f>
        <v>0611839309025</v>
      </c>
      <c r="B12031" t="str">
        <f>"MC3405"</f>
        <v>MC3405</v>
      </c>
      <c r="C12031" t="s">
        <v>11802</v>
      </c>
    </row>
    <row r="12032" spans="1:3" x14ac:dyDescent="0.25">
      <c r="A12032" t="str">
        <f>"0611864081100"</f>
        <v>0611864081100</v>
      </c>
      <c r="B12032" t="str">
        <f>"CN2257"</f>
        <v>CN2257</v>
      </c>
      <c r="C12032" t="s">
        <v>11803</v>
      </c>
    </row>
    <row r="12033" spans="1:3" x14ac:dyDescent="0.25">
      <c r="A12033" t="str">
        <f>"0611864082100"</f>
        <v>0611864082100</v>
      </c>
      <c r="B12033" t="str">
        <f>"CN2258"</f>
        <v>CN2258</v>
      </c>
      <c r="C12033" t="s">
        <v>11804</v>
      </c>
    </row>
    <row r="12034" spans="1:3" x14ac:dyDescent="0.25">
      <c r="A12034" t="str">
        <f>"0611864083100"</f>
        <v>0611864083100</v>
      </c>
      <c r="B12034" t="str">
        <f>"CN2259"</f>
        <v>CN2259</v>
      </c>
      <c r="C12034" t="s">
        <v>11805</v>
      </c>
    </row>
    <row r="12035" spans="1:3" x14ac:dyDescent="0.25">
      <c r="A12035" t="str">
        <f>"0611884467025"</f>
        <v>0611884467025</v>
      </c>
      <c r="B12035" t="str">
        <f>"MQ7266"</f>
        <v>MQ7266</v>
      </c>
      <c r="C12035" t="s">
        <v>11806</v>
      </c>
    </row>
    <row r="12036" spans="1:3" x14ac:dyDescent="0.25">
      <c r="A12036" t="str">
        <f>"0611839310100"</f>
        <v>0611839310100</v>
      </c>
      <c r="B12036" t="str">
        <f>"LK5527"</f>
        <v>LK5527</v>
      </c>
      <c r="C12036" t="s">
        <v>11807</v>
      </c>
    </row>
    <row r="12037" spans="1:3" x14ac:dyDescent="0.25">
      <c r="A12037" t="str">
        <f>"0611839311100"</f>
        <v>0611839311100</v>
      </c>
      <c r="B12037" t="str">
        <f>"LG8032"</f>
        <v>LG8032</v>
      </c>
      <c r="C12037" t="s">
        <v>11808</v>
      </c>
    </row>
    <row r="12038" spans="1:3" x14ac:dyDescent="0.25">
      <c r="A12038" t="str">
        <f>"0611839312100"</f>
        <v>0611839312100</v>
      </c>
      <c r="B12038" t="str">
        <f>"LG1300"</f>
        <v>LG1300</v>
      </c>
      <c r="C12038" t="s">
        <v>11809</v>
      </c>
    </row>
    <row r="12039" spans="1:3" x14ac:dyDescent="0.25">
      <c r="A12039" t="str">
        <f>"0611864084100"</f>
        <v>0611864084100</v>
      </c>
      <c r="B12039" t="str">
        <f>"CN2264"</f>
        <v>CN2264</v>
      </c>
      <c r="C12039" t="s">
        <v>11810</v>
      </c>
    </row>
    <row r="12040" spans="1:3" x14ac:dyDescent="0.25">
      <c r="A12040" t="str">
        <f>"0611839315100"</f>
        <v>0611839315100</v>
      </c>
      <c r="B12040" t="str">
        <f>"LS0019"</f>
        <v>LS0019</v>
      </c>
      <c r="C12040" t="s">
        <v>11819</v>
      </c>
    </row>
    <row r="12041" spans="1:3" x14ac:dyDescent="0.25">
      <c r="A12041" t="str">
        <f>"0611839314100"</f>
        <v>0611839314100</v>
      </c>
      <c r="B12041" t="str">
        <f>"LB2623"</f>
        <v>LB2623</v>
      </c>
      <c r="C12041" t="s">
        <v>11811</v>
      </c>
    </row>
    <row r="12042" spans="1:3" x14ac:dyDescent="0.25">
      <c r="A12042" t="str">
        <f>"0611839320100"</f>
        <v>0611839320100</v>
      </c>
      <c r="B12042" t="str">
        <f>"LB2621"</f>
        <v>LB2621</v>
      </c>
      <c r="C12042" t="s">
        <v>11812</v>
      </c>
    </row>
    <row r="12043" spans="1:3" x14ac:dyDescent="0.25">
      <c r="A12043" t="str">
        <f>"0611839327100"</f>
        <v>0611839327100</v>
      </c>
      <c r="B12043" t="str">
        <f>"LQ3809"</f>
        <v>LQ3809</v>
      </c>
      <c r="C12043" t="s">
        <v>11813</v>
      </c>
    </row>
    <row r="12044" spans="1:3" x14ac:dyDescent="0.25">
      <c r="A12044" t="str">
        <f>"0611839328100"</f>
        <v>0611839328100</v>
      </c>
      <c r="B12044" t="str">
        <f>"LB2631"</f>
        <v>LB2631</v>
      </c>
      <c r="C12044" t="s">
        <v>11814</v>
      </c>
    </row>
    <row r="12045" spans="1:3" x14ac:dyDescent="0.25">
      <c r="A12045" t="str">
        <f>"0611839329100"</f>
        <v>0611839329100</v>
      </c>
      <c r="B12045" t="str">
        <f>"LK5457"</f>
        <v>LK5457</v>
      </c>
      <c r="C12045" t="s">
        <v>11815</v>
      </c>
    </row>
    <row r="12046" spans="1:3" x14ac:dyDescent="0.25">
      <c r="A12046" t="str">
        <f>"0611839330100"</f>
        <v>0611839330100</v>
      </c>
      <c r="B12046" t="str">
        <f>"LB2627"</f>
        <v>LB2627</v>
      </c>
      <c r="C12046" t="s">
        <v>11816</v>
      </c>
    </row>
    <row r="12047" spans="1:3" x14ac:dyDescent="0.25">
      <c r="A12047" t="str">
        <f>"0611839316100"</f>
        <v>0611839316100</v>
      </c>
      <c r="B12047" t="str">
        <f>"LB2633"</f>
        <v>LB2633</v>
      </c>
      <c r="C12047" t="s">
        <v>11817</v>
      </c>
    </row>
    <row r="12048" spans="1:3" x14ac:dyDescent="0.25">
      <c r="A12048" t="str">
        <f>"0611839334100"</f>
        <v>0611839334100</v>
      </c>
      <c r="B12048" t="str">
        <f>"LQ3810"</f>
        <v>LQ3810</v>
      </c>
      <c r="C12048" t="s">
        <v>11818</v>
      </c>
    </row>
    <row r="12049" spans="1:3" x14ac:dyDescent="0.25">
      <c r="A12049" t="str">
        <f>"0611839317100"</f>
        <v>0611839317100</v>
      </c>
      <c r="B12049" t="str">
        <f>"LB8504"</f>
        <v>LB8504</v>
      </c>
      <c r="C12049" t="s">
        <v>11820</v>
      </c>
    </row>
    <row r="12050" spans="1:3" x14ac:dyDescent="0.25">
      <c r="A12050" t="str">
        <f>"0611884468100"</f>
        <v>0611884468100</v>
      </c>
      <c r="B12050" t="str">
        <f>"CN2415"</f>
        <v>CN2415</v>
      </c>
      <c r="C12050" t="s">
        <v>11821</v>
      </c>
    </row>
    <row r="12051" spans="1:3" x14ac:dyDescent="0.25">
      <c r="A12051" t="str">
        <f>"0611906963100"</f>
        <v>0611906963100</v>
      </c>
      <c r="B12051" t="str">
        <f>"LQ3997"</f>
        <v>LQ3997</v>
      </c>
      <c r="C12051" t="s">
        <v>11822</v>
      </c>
    </row>
    <row r="12052" spans="1:3" x14ac:dyDescent="0.25">
      <c r="A12052" t="str">
        <f>"0611839321100"</f>
        <v>0611839321100</v>
      </c>
      <c r="B12052" t="str">
        <f>"LF7120"</f>
        <v>LF7120</v>
      </c>
      <c r="C12052" t="s">
        <v>11823</v>
      </c>
    </row>
    <row r="12053" spans="1:3" x14ac:dyDescent="0.25">
      <c r="A12053" t="str">
        <f>"0611864086050"</f>
        <v>0611864086050</v>
      </c>
      <c r="B12053" t="str">
        <f>"CR5239"</f>
        <v>CR5239</v>
      </c>
      <c r="C12053" t="s">
        <v>11824</v>
      </c>
    </row>
    <row r="12054" spans="1:3" x14ac:dyDescent="0.25">
      <c r="A12054" t="str">
        <f>"0611864087050"</f>
        <v>0611864087050</v>
      </c>
      <c r="B12054" t="str">
        <f>"CR5240"</f>
        <v>CR5240</v>
      </c>
      <c r="C12054" t="s">
        <v>11825</v>
      </c>
    </row>
    <row r="12055" spans="1:3" x14ac:dyDescent="0.25">
      <c r="A12055" t="str">
        <f>"0611864088050"</f>
        <v>0611864088050</v>
      </c>
      <c r="B12055" t="str">
        <f>"CR5074"</f>
        <v>CR5074</v>
      </c>
      <c r="C12055" t="s">
        <v>11826</v>
      </c>
    </row>
    <row r="12056" spans="1:3" x14ac:dyDescent="0.25">
      <c r="A12056" t="str">
        <f>"0611864089050"</f>
        <v>0611864089050</v>
      </c>
      <c r="B12056" t="str">
        <f>"CR5243"</f>
        <v>CR5243</v>
      </c>
      <c r="C12056" t="s">
        <v>11827</v>
      </c>
    </row>
    <row r="12057" spans="1:3" x14ac:dyDescent="0.25">
      <c r="A12057" t="str">
        <f>"0611864091050"</f>
        <v>0611864091050</v>
      </c>
      <c r="B12057" t="str">
        <f>"CR5076"</f>
        <v>CR5076</v>
      </c>
      <c r="C12057" t="s">
        <v>11829</v>
      </c>
    </row>
    <row r="12058" spans="1:3" x14ac:dyDescent="0.25">
      <c r="A12058" t="str">
        <f>"0611864090050"</f>
        <v>0611864090050</v>
      </c>
      <c r="B12058" t="str">
        <f>"CR5077"</f>
        <v>CR5077</v>
      </c>
      <c r="C12058" t="s">
        <v>11828</v>
      </c>
    </row>
    <row r="12059" spans="1:3" x14ac:dyDescent="0.25">
      <c r="A12059" t="str">
        <f>"0611864092050"</f>
        <v>0611864092050</v>
      </c>
      <c r="B12059" t="str">
        <f>"CR5075"</f>
        <v>CR5075</v>
      </c>
      <c r="C12059" t="s">
        <v>11830</v>
      </c>
    </row>
    <row r="12060" spans="1:3" x14ac:dyDescent="0.25">
      <c r="A12060" t="str">
        <f>"0611864093050"</f>
        <v>0611864093050</v>
      </c>
      <c r="B12060" t="str">
        <f>"CR5078"</f>
        <v>CR5078</v>
      </c>
      <c r="C12060" t="s">
        <v>11831</v>
      </c>
    </row>
    <row r="12061" spans="1:3" x14ac:dyDescent="0.25">
      <c r="A12061" t="str">
        <f>"0611864094050"</f>
        <v>0611864094050</v>
      </c>
      <c r="B12061" t="str">
        <f>"CR5241"</f>
        <v>CR5241</v>
      </c>
      <c r="C12061" t="s">
        <v>11832</v>
      </c>
    </row>
    <row r="12062" spans="1:3" x14ac:dyDescent="0.25">
      <c r="A12062" t="str">
        <f>"0611864095050"</f>
        <v>0611864095050</v>
      </c>
      <c r="B12062" t="str">
        <f>"CR5242"</f>
        <v>CR5242</v>
      </c>
      <c r="C12062" t="s">
        <v>11833</v>
      </c>
    </row>
    <row r="12063" spans="1:3" x14ac:dyDescent="0.25">
      <c r="A12063" t="str">
        <f>"0611864096050"</f>
        <v>0611864096050</v>
      </c>
      <c r="B12063" t="str">
        <f>"CR5244"</f>
        <v>CR5244</v>
      </c>
      <c r="C12063" t="s">
        <v>11834</v>
      </c>
    </row>
    <row r="12064" spans="1:3" x14ac:dyDescent="0.25">
      <c r="A12064" t="str">
        <f>"0611839322100"</f>
        <v>0611839322100</v>
      </c>
      <c r="B12064" t="str">
        <f>"LF3138"</f>
        <v>LF3138</v>
      </c>
      <c r="C12064" t="s">
        <v>11835</v>
      </c>
    </row>
    <row r="12065" spans="1:3" x14ac:dyDescent="0.25">
      <c r="A12065" t="str">
        <f>"0611864097100"</f>
        <v>0611864097100</v>
      </c>
      <c r="B12065" t="str">
        <f>"CN2265"</f>
        <v>CN2265</v>
      </c>
      <c r="C12065" t="s">
        <v>11836</v>
      </c>
    </row>
    <row r="12066" spans="1:3" x14ac:dyDescent="0.25">
      <c r="A12066" t="str">
        <f>"0611839323100"</f>
        <v>0611839323100</v>
      </c>
      <c r="B12066" t="str">
        <f>"LK6155"</f>
        <v>LK6155</v>
      </c>
      <c r="C12066" t="s">
        <v>11837</v>
      </c>
    </row>
    <row r="12067" spans="1:3" x14ac:dyDescent="0.25">
      <c r="A12067" t="str">
        <f>"0611839313100"</f>
        <v>0611839313100</v>
      </c>
      <c r="B12067" t="str">
        <f>"LK0105"</f>
        <v>LK0105</v>
      </c>
      <c r="C12067" t="s">
        <v>11838</v>
      </c>
    </row>
    <row r="12068" spans="1:3" x14ac:dyDescent="0.25">
      <c r="A12068" t="str">
        <f>"0611884469100"</f>
        <v>0611884469100</v>
      </c>
      <c r="B12068" t="str">
        <f>"LF8535"</f>
        <v>LF8535</v>
      </c>
      <c r="C12068" t="s">
        <v>11839</v>
      </c>
    </row>
    <row r="12069" spans="1:3" x14ac:dyDescent="0.25">
      <c r="A12069" t="str">
        <f>"0611839324100"</f>
        <v>0611839324100</v>
      </c>
      <c r="B12069" t="str">
        <f>"LF0016"</f>
        <v>LF0016</v>
      </c>
      <c r="C12069" t="s">
        <v>11840</v>
      </c>
    </row>
    <row r="12070" spans="1:3" x14ac:dyDescent="0.25">
      <c r="A12070" t="str">
        <f>"0611839325100"</f>
        <v>0611839325100</v>
      </c>
      <c r="B12070" t="str">
        <f>"LF0015"</f>
        <v>LF0015</v>
      </c>
      <c r="C12070" t="s">
        <v>11841</v>
      </c>
    </row>
    <row r="12071" spans="1:3" x14ac:dyDescent="0.25">
      <c r="A12071" t="str">
        <f>"0611839326100"</f>
        <v>0611839326100</v>
      </c>
      <c r="B12071" t="str">
        <f>"LK5528"</f>
        <v>LK5528</v>
      </c>
      <c r="C12071" t="s">
        <v>11842</v>
      </c>
    </row>
    <row r="12072" spans="1:3" x14ac:dyDescent="0.25">
      <c r="A12072" t="str">
        <f>"0611864099100"</f>
        <v>0611864099100</v>
      </c>
      <c r="B12072" t="str">
        <f>"CN2268"</f>
        <v>CN2268</v>
      </c>
      <c r="C12072" t="s">
        <v>11843</v>
      </c>
    </row>
    <row r="12073" spans="1:3" x14ac:dyDescent="0.25">
      <c r="A12073" t="str">
        <f>"0611839331100"</f>
        <v>0611839331100</v>
      </c>
      <c r="B12073" t="str">
        <f>"LF0046"</f>
        <v>LF0046</v>
      </c>
      <c r="C12073" t="s">
        <v>11844</v>
      </c>
    </row>
    <row r="12074" spans="1:3" x14ac:dyDescent="0.25">
      <c r="A12074" t="str">
        <f>"0611839332100"</f>
        <v>0611839332100</v>
      </c>
      <c r="B12074" t="str">
        <f>"LF0047"</f>
        <v>LF0047</v>
      </c>
      <c r="C12074" t="s">
        <v>11845</v>
      </c>
    </row>
    <row r="12075" spans="1:3" x14ac:dyDescent="0.25">
      <c r="A12075" t="str">
        <f>"0611839333100"</f>
        <v>0611839333100</v>
      </c>
      <c r="B12075" t="str">
        <f>"LF0048"</f>
        <v>LF0048</v>
      </c>
      <c r="C12075" t="s">
        <v>11846</v>
      </c>
    </row>
    <row r="12076" spans="1:3" x14ac:dyDescent="0.25">
      <c r="A12076" t="str">
        <f>"0611839335100"</f>
        <v>0611839335100</v>
      </c>
      <c r="B12076" t="str">
        <f>"LK5914"</f>
        <v>LK5914</v>
      </c>
      <c r="C12076" t="s">
        <v>11847</v>
      </c>
    </row>
    <row r="12077" spans="1:3" x14ac:dyDescent="0.25">
      <c r="A12077" t="str">
        <f>"0611839336100"</f>
        <v>0611839336100</v>
      </c>
      <c r="B12077" t="str">
        <f>"LK2610"</f>
        <v>LK2610</v>
      </c>
      <c r="C12077" t="s">
        <v>11848</v>
      </c>
    </row>
    <row r="12078" spans="1:3" x14ac:dyDescent="0.25">
      <c r="A12078" t="str">
        <f>"0611864100050"</f>
        <v>0611864100050</v>
      </c>
      <c r="B12078" t="str">
        <f>"CR2543"</f>
        <v>CR2543</v>
      </c>
      <c r="C12078" t="s">
        <v>11849</v>
      </c>
    </row>
    <row r="12079" spans="1:3" x14ac:dyDescent="0.25">
      <c r="A12079" t="str">
        <f>"0611830636100"</f>
        <v>0611830636100</v>
      </c>
      <c r="B12079" t="str">
        <f>"LC0008"</f>
        <v>LC0008</v>
      </c>
      <c r="C12079" t="s">
        <v>11850</v>
      </c>
    </row>
    <row r="12080" spans="1:3" x14ac:dyDescent="0.25">
      <c r="A12080" t="str">
        <f>"0611830655100"</f>
        <v>0611830655100</v>
      </c>
      <c r="B12080" t="str">
        <f>"LC9618"</f>
        <v>LC9618</v>
      </c>
      <c r="C12080" t="s">
        <v>11851</v>
      </c>
    </row>
    <row r="12081" spans="1:3" x14ac:dyDescent="0.25">
      <c r="A12081" t="str">
        <f>"0611839339025"</f>
        <v>0611839339025</v>
      </c>
      <c r="B12081" t="str">
        <f>"MQ6088"</f>
        <v>MQ6088</v>
      </c>
      <c r="C12081" t="s">
        <v>11852</v>
      </c>
    </row>
    <row r="12082" spans="1:3" x14ac:dyDescent="0.25">
      <c r="A12082" t="str">
        <f>"0611839340025"</f>
        <v>0611839340025</v>
      </c>
      <c r="B12082" t="str">
        <f>"MQ6089"</f>
        <v>MQ6089</v>
      </c>
      <c r="C12082" t="s">
        <v>11853</v>
      </c>
    </row>
    <row r="12083" spans="1:3" x14ac:dyDescent="0.25">
      <c r="A12083" t="str">
        <f>"0611839341025"</f>
        <v>0611839341025</v>
      </c>
      <c r="B12083" t="str">
        <f>"MQ6090"</f>
        <v>MQ6090</v>
      </c>
      <c r="C12083" t="s">
        <v>11854</v>
      </c>
    </row>
    <row r="12084" spans="1:3" x14ac:dyDescent="0.25">
      <c r="A12084" t="str">
        <f>"0611839342025"</f>
        <v>0611839342025</v>
      </c>
      <c r="B12084" t="str">
        <f>"MC2784"</f>
        <v>MC2784</v>
      </c>
      <c r="C12084" t="s">
        <v>11855</v>
      </c>
    </row>
    <row r="12085" spans="1:3" x14ac:dyDescent="0.25">
      <c r="A12085" t="str">
        <f>"0611839344025"</f>
        <v>0611839344025</v>
      </c>
      <c r="B12085" t="str">
        <f>"MC3810"</f>
        <v>MC3810</v>
      </c>
      <c r="C12085" t="s">
        <v>11856</v>
      </c>
    </row>
    <row r="12086" spans="1:3" x14ac:dyDescent="0.25">
      <c r="A12086" t="str">
        <f>"0611839345025"</f>
        <v>0611839345025</v>
      </c>
      <c r="B12086" t="str">
        <f>"MC4018"</f>
        <v>MC4018</v>
      </c>
      <c r="C12086" t="s">
        <v>11857</v>
      </c>
    </row>
    <row r="12087" spans="1:3" x14ac:dyDescent="0.25">
      <c r="A12087" t="str">
        <f>"0611857110025"</f>
        <v>0611857110025</v>
      </c>
      <c r="B12087" t="str">
        <f>"MQ0810"</f>
        <v>MQ0810</v>
      </c>
      <c r="C12087" t="s">
        <v>11858</v>
      </c>
    </row>
    <row r="12088" spans="1:3" x14ac:dyDescent="0.25">
      <c r="A12088" t="str">
        <f>"0611839347100"</f>
        <v>0611839347100</v>
      </c>
      <c r="B12088" t="str">
        <f>"LG6860"</f>
        <v>LG6860</v>
      </c>
      <c r="C12088" t="s">
        <v>11865</v>
      </c>
    </row>
    <row r="12089" spans="1:3" x14ac:dyDescent="0.25">
      <c r="A12089" t="str">
        <f>"0611839348025"</f>
        <v>0611839348025</v>
      </c>
      <c r="B12089" t="str">
        <f>"MC2090"</f>
        <v>MC2090</v>
      </c>
      <c r="C12089" t="s">
        <v>11866</v>
      </c>
    </row>
    <row r="12090" spans="1:3" x14ac:dyDescent="0.25">
      <c r="A12090" t="str">
        <f>"0611839350025"</f>
        <v>0611839350025</v>
      </c>
      <c r="B12090" t="str">
        <f>"MC4014"</f>
        <v>MC4014</v>
      </c>
      <c r="C12090" t="s">
        <v>11867</v>
      </c>
    </row>
    <row r="12091" spans="1:3" x14ac:dyDescent="0.25">
      <c r="A12091" t="str">
        <f>"0611839351025"</f>
        <v>0611839351025</v>
      </c>
      <c r="B12091" t="str">
        <f>"MC4390"</f>
        <v>MC4390</v>
      </c>
      <c r="C12091" t="s">
        <v>11868</v>
      </c>
    </row>
    <row r="12092" spans="1:3" x14ac:dyDescent="0.25">
      <c r="A12092" t="str">
        <f>"0611830783100"</f>
        <v>0611830783100</v>
      </c>
      <c r="B12092" t="str">
        <f>"LK6139"</f>
        <v>LK6139</v>
      </c>
      <c r="C12092" t="s">
        <v>11869</v>
      </c>
    </row>
    <row r="12093" spans="1:3" x14ac:dyDescent="0.25">
      <c r="A12093" t="str">
        <f>"0611830802100"</f>
        <v>0611830802100</v>
      </c>
      <c r="B12093" t="str">
        <f>"LS0117"</f>
        <v>LS0117</v>
      </c>
      <c r="C12093" t="s">
        <v>11899</v>
      </c>
    </row>
    <row r="12094" spans="1:3" x14ac:dyDescent="0.25">
      <c r="A12094" t="str">
        <f>"0611830794100"</f>
        <v>0611830794100</v>
      </c>
      <c r="B12094" t="str">
        <f>"LK5140"</f>
        <v>LK5140</v>
      </c>
      <c r="C12094" t="s">
        <v>11870</v>
      </c>
    </row>
    <row r="12095" spans="1:3" x14ac:dyDescent="0.25">
      <c r="A12095" t="str">
        <f>"0611830795100"</f>
        <v>0611830795100</v>
      </c>
      <c r="B12095" t="str">
        <f>"LK6280"</f>
        <v>LK6280</v>
      </c>
      <c r="C12095" t="s">
        <v>11871</v>
      </c>
    </row>
    <row r="12096" spans="1:3" x14ac:dyDescent="0.25">
      <c r="A12096" t="str">
        <f>"0611830796100"</f>
        <v>0611830796100</v>
      </c>
      <c r="B12096" t="str">
        <f>"LK6281"</f>
        <v>LK6281</v>
      </c>
      <c r="C12096" t="s">
        <v>11872</v>
      </c>
    </row>
    <row r="12097" spans="1:3" x14ac:dyDescent="0.25">
      <c r="A12097" t="str">
        <f>"0611906964100"</f>
        <v>0611906964100</v>
      </c>
      <c r="B12097" t="str">
        <f>"LK7274"</f>
        <v>LK7274</v>
      </c>
      <c r="C12097" t="s">
        <v>11873</v>
      </c>
    </row>
    <row r="12098" spans="1:3" x14ac:dyDescent="0.25">
      <c r="A12098" t="str">
        <f>"0611830797100"</f>
        <v>0611830797100</v>
      </c>
      <c r="B12098" t="str">
        <f>"LK6282"</f>
        <v>LK6282</v>
      </c>
      <c r="C12098" t="s">
        <v>11874</v>
      </c>
    </row>
    <row r="12099" spans="1:3" x14ac:dyDescent="0.25">
      <c r="A12099" t="str">
        <f>"0611830798100"</f>
        <v>0611830798100</v>
      </c>
      <c r="B12099" t="str">
        <f>"LK6283"</f>
        <v>LK6283</v>
      </c>
      <c r="C12099" t="s">
        <v>11875</v>
      </c>
    </row>
    <row r="12100" spans="1:3" x14ac:dyDescent="0.25">
      <c r="A12100" t="str">
        <f>"0611830799100"</f>
        <v>0611830799100</v>
      </c>
      <c r="B12100" t="str">
        <f>"LK6284"</f>
        <v>LK6284</v>
      </c>
      <c r="C12100" t="s">
        <v>11876</v>
      </c>
    </row>
    <row r="12101" spans="1:3" x14ac:dyDescent="0.25">
      <c r="A12101" t="str">
        <f>"0611830800100"</f>
        <v>0611830800100</v>
      </c>
      <c r="B12101" t="str">
        <f>"LK6285"</f>
        <v>LK6285</v>
      </c>
      <c r="C12101" t="s">
        <v>11877</v>
      </c>
    </row>
    <row r="12102" spans="1:3" x14ac:dyDescent="0.25">
      <c r="A12102" t="str">
        <f>"0611884470100"</f>
        <v>0611884470100</v>
      </c>
      <c r="B12102" t="str">
        <f>"LK7155"</f>
        <v>LK7155</v>
      </c>
      <c r="C12102" t="s">
        <v>11878</v>
      </c>
    </row>
    <row r="12103" spans="1:3" x14ac:dyDescent="0.25">
      <c r="A12103" t="str">
        <f>"0611830803100"</f>
        <v>0611830803100</v>
      </c>
      <c r="B12103" t="str">
        <f>"LK5354"</f>
        <v>LK5354</v>
      </c>
      <c r="C12103" t="s">
        <v>11880</v>
      </c>
    </row>
    <row r="12104" spans="1:3" x14ac:dyDescent="0.25">
      <c r="A12104" t="str">
        <f>"0611830804100"</f>
        <v>0611830804100</v>
      </c>
      <c r="B12104" t="str">
        <f>"LB8617"</f>
        <v>LB8617</v>
      </c>
      <c r="C12104" t="s">
        <v>11879</v>
      </c>
    </row>
    <row r="12105" spans="1:3" x14ac:dyDescent="0.25">
      <c r="A12105" t="str">
        <f>"0611830809100"</f>
        <v>0611830809100</v>
      </c>
      <c r="B12105" t="str">
        <f>"LK5356"</f>
        <v>LK5356</v>
      </c>
      <c r="C12105" t="s">
        <v>11885</v>
      </c>
    </row>
    <row r="12106" spans="1:3" x14ac:dyDescent="0.25">
      <c r="A12106" t="str">
        <f>"0611830810100"</f>
        <v>0611830810100</v>
      </c>
      <c r="B12106" t="str">
        <f>"LK5358"</f>
        <v>LK5358</v>
      </c>
      <c r="C12106" t="s">
        <v>11886</v>
      </c>
    </row>
    <row r="12107" spans="1:3" x14ac:dyDescent="0.25">
      <c r="A12107" t="str">
        <f>"0611830805100"</f>
        <v>0611830805100</v>
      </c>
      <c r="B12107" t="str">
        <f>"LK5359"</f>
        <v>LK5359</v>
      </c>
      <c r="C12107" t="s">
        <v>11881</v>
      </c>
    </row>
    <row r="12108" spans="1:3" x14ac:dyDescent="0.25">
      <c r="A12108" t="str">
        <f>"0611830806100"</f>
        <v>0611830806100</v>
      </c>
      <c r="B12108" t="str">
        <f>"LK5360"</f>
        <v>LK5360</v>
      </c>
      <c r="C12108" t="s">
        <v>11882</v>
      </c>
    </row>
    <row r="12109" spans="1:3" x14ac:dyDescent="0.25">
      <c r="A12109" t="str">
        <f>"0611830807100"</f>
        <v>0611830807100</v>
      </c>
      <c r="B12109" t="str">
        <f>"LK5361"</f>
        <v>LK5361</v>
      </c>
      <c r="C12109" t="s">
        <v>11883</v>
      </c>
    </row>
    <row r="12110" spans="1:3" x14ac:dyDescent="0.25">
      <c r="A12110" t="str">
        <f>"0611830808100"</f>
        <v>0611830808100</v>
      </c>
      <c r="B12110" t="str">
        <f>"LK5362"</f>
        <v>LK5362</v>
      </c>
      <c r="C12110" t="s">
        <v>11884</v>
      </c>
    </row>
    <row r="12111" spans="1:3" x14ac:dyDescent="0.25">
      <c r="A12111" t="str">
        <f>"0611830811100"</f>
        <v>0611830811100</v>
      </c>
      <c r="B12111" t="str">
        <f>"LB8618"</f>
        <v>LB8618</v>
      </c>
      <c r="C12111" t="s">
        <v>11887</v>
      </c>
    </row>
    <row r="12112" spans="1:3" x14ac:dyDescent="0.25">
      <c r="A12112" t="str">
        <f>"0611830812100"</f>
        <v>0611830812100</v>
      </c>
      <c r="B12112" t="str">
        <f>"LB8584"</f>
        <v>LB8584</v>
      </c>
      <c r="C12112" t="s">
        <v>11888</v>
      </c>
    </row>
    <row r="12113" spans="1:3" x14ac:dyDescent="0.25">
      <c r="A12113" t="str">
        <f>"0611830813100"</f>
        <v>0611830813100</v>
      </c>
      <c r="B12113" t="str">
        <f>"LB8591"</f>
        <v>LB8591</v>
      </c>
      <c r="C12113" t="s">
        <v>11889</v>
      </c>
    </row>
    <row r="12114" spans="1:3" x14ac:dyDescent="0.25">
      <c r="A12114" t="str">
        <f>"0611830814100"</f>
        <v>0611830814100</v>
      </c>
      <c r="B12114" t="str">
        <f>"LB8592"</f>
        <v>LB8592</v>
      </c>
      <c r="C12114" t="s">
        <v>11890</v>
      </c>
    </row>
    <row r="12115" spans="1:3" x14ac:dyDescent="0.25">
      <c r="A12115" t="str">
        <f>"0611830816100"</f>
        <v>0611830816100</v>
      </c>
      <c r="B12115" t="str">
        <f>"LB8600"</f>
        <v>LB8600</v>
      </c>
      <c r="C12115" t="s">
        <v>11891</v>
      </c>
    </row>
    <row r="12116" spans="1:3" x14ac:dyDescent="0.25">
      <c r="A12116" t="str">
        <f>"0611830817100"</f>
        <v>0611830817100</v>
      </c>
      <c r="B12116" t="str">
        <f>"LB8593"</f>
        <v>LB8593</v>
      </c>
      <c r="C12116" t="s">
        <v>11892</v>
      </c>
    </row>
    <row r="12117" spans="1:3" x14ac:dyDescent="0.25">
      <c r="A12117" t="str">
        <f>"0611830818100"</f>
        <v>0611830818100</v>
      </c>
      <c r="B12117" t="str">
        <f>"LB8595"</f>
        <v>LB8595</v>
      </c>
      <c r="C12117" t="s">
        <v>11893</v>
      </c>
    </row>
    <row r="12118" spans="1:3" x14ac:dyDescent="0.25">
      <c r="A12118" t="str">
        <f>"0611830823100"</f>
        <v>0611830823100</v>
      </c>
      <c r="B12118" t="str">
        <f>"LB8619"</f>
        <v>LB8619</v>
      </c>
      <c r="C12118" t="s">
        <v>11894</v>
      </c>
    </row>
    <row r="12119" spans="1:3" x14ac:dyDescent="0.25">
      <c r="A12119" t="str">
        <f>"0611830819100"</f>
        <v>0611830819100</v>
      </c>
      <c r="B12119" t="str">
        <f>"LB8599"</f>
        <v>LB8599</v>
      </c>
      <c r="C12119" t="s">
        <v>11895</v>
      </c>
    </row>
    <row r="12120" spans="1:3" x14ac:dyDescent="0.25">
      <c r="A12120" t="str">
        <f>"0611830820100"</f>
        <v>0611830820100</v>
      </c>
      <c r="B12120" t="str">
        <f>"LB8594"</f>
        <v>LB8594</v>
      </c>
      <c r="C12120" t="s">
        <v>11896</v>
      </c>
    </row>
    <row r="12121" spans="1:3" x14ac:dyDescent="0.25">
      <c r="A12121" t="str">
        <f>"0611830821100"</f>
        <v>0611830821100</v>
      </c>
      <c r="B12121" t="str">
        <f>"LB8597"</f>
        <v>LB8597</v>
      </c>
      <c r="C12121" t="s">
        <v>11897</v>
      </c>
    </row>
    <row r="12122" spans="1:3" x14ac:dyDescent="0.25">
      <c r="A12122" t="str">
        <f>"0611830822100"</f>
        <v>0611830822100</v>
      </c>
      <c r="B12122" t="str">
        <f>"LB8598"</f>
        <v>LB8598</v>
      </c>
      <c r="C12122" t="s">
        <v>11898</v>
      </c>
    </row>
    <row r="12123" spans="1:3" x14ac:dyDescent="0.25">
      <c r="A12123" t="str">
        <f>"0611830824100"</f>
        <v>0611830824100</v>
      </c>
      <c r="B12123" t="str">
        <f>"LK0523"</f>
        <v>LK0523</v>
      </c>
      <c r="C12123" t="s">
        <v>11900</v>
      </c>
    </row>
    <row r="12124" spans="1:3" x14ac:dyDescent="0.25">
      <c r="A12124" t="str">
        <f>"0611830825100"</f>
        <v>0611830825100</v>
      </c>
      <c r="B12124" t="str">
        <f>"LK0525"</f>
        <v>LK0525</v>
      </c>
      <c r="C12124" t="s">
        <v>11901</v>
      </c>
    </row>
    <row r="12125" spans="1:3" x14ac:dyDescent="0.25">
      <c r="A12125" t="str">
        <f>"0611830826100"</f>
        <v>0611830826100</v>
      </c>
      <c r="B12125" t="str">
        <f>"LK0526"</f>
        <v>LK0526</v>
      </c>
      <c r="C12125" t="s">
        <v>11902</v>
      </c>
    </row>
    <row r="12126" spans="1:3" x14ac:dyDescent="0.25">
      <c r="A12126" t="str">
        <f>"0611830827100"</f>
        <v>0611830827100</v>
      </c>
      <c r="B12126" t="str">
        <f>"LK1394"</f>
        <v>LK1394</v>
      </c>
      <c r="C12126" t="s">
        <v>11903</v>
      </c>
    </row>
    <row r="12127" spans="1:3" x14ac:dyDescent="0.25">
      <c r="A12127" t="str">
        <f>"0611830828100"</f>
        <v>0611830828100</v>
      </c>
      <c r="B12127" t="str">
        <f>"LK0528"</f>
        <v>LK0528</v>
      </c>
      <c r="C12127" t="s">
        <v>11904</v>
      </c>
    </row>
    <row r="12128" spans="1:3" x14ac:dyDescent="0.25">
      <c r="A12128" t="str">
        <f>"0611830830100"</f>
        <v>0611830830100</v>
      </c>
      <c r="B12128" t="str">
        <f>"LK0386"</f>
        <v>LK0386</v>
      </c>
      <c r="C12128" t="s">
        <v>11905</v>
      </c>
    </row>
    <row r="12129" spans="1:3" x14ac:dyDescent="0.25">
      <c r="A12129" t="str">
        <f>"0611830831100"</f>
        <v>0611830831100</v>
      </c>
      <c r="B12129" t="str">
        <f>"LK0387"</f>
        <v>LK0387</v>
      </c>
      <c r="C12129" t="s">
        <v>11906</v>
      </c>
    </row>
    <row r="12130" spans="1:3" x14ac:dyDescent="0.25">
      <c r="A12130" t="str">
        <f>"0611830833100"</f>
        <v>0611830833100</v>
      </c>
      <c r="B12130" t="str">
        <f>"LB8691"</f>
        <v>LB8691</v>
      </c>
      <c r="C12130" t="s">
        <v>11908</v>
      </c>
    </row>
    <row r="12131" spans="1:3" x14ac:dyDescent="0.25">
      <c r="A12131" t="str">
        <f>"0611830832100"</f>
        <v>0611830832100</v>
      </c>
      <c r="B12131" t="str">
        <f>"LK5363"</f>
        <v>LK5363</v>
      </c>
      <c r="C12131" t="s">
        <v>11907</v>
      </c>
    </row>
    <row r="12132" spans="1:3" x14ac:dyDescent="0.25">
      <c r="A12132" t="str">
        <f>"0611830837100"</f>
        <v>0611830837100</v>
      </c>
      <c r="B12132" t="str">
        <f>"LB8572"</f>
        <v>LB8572</v>
      </c>
      <c r="C12132" t="s">
        <v>11909</v>
      </c>
    </row>
    <row r="12133" spans="1:3" x14ac:dyDescent="0.25">
      <c r="A12133" t="str">
        <f>"0611830838100"</f>
        <v>0611830838100</v>
      </c>
      <c r="B12133" t="str">
        <f>"LB8574"</f>
        <v>LB8574</v>
      </c>
      <c r="C12133" t="s">
        <v>11910</v>
      </c>
    </row>
    <row r="12134" spans="1:3" x14ac:dyDescent="0.25">
      <c r="A12134" t="str">
        <f>"0611830840100"</f>
        <v>0611830840100</v>
      </c>
      <c r="B12134" t="str">
        <f>"LB8576"</f>
        <v>LB8576</v>
      </c>
      <c r="C12134" t="s">
        <v>11911</v>
      </c>
    </row>
    <row r="12135" spans="1:3" x14ac:dyDescent="0.25">
      <c r="A12135" t="str">
        <f>"0611830841100"</f>
        <v>0611830841100</v>
      </c>
      <c r="B12135" t="str">
        <f>"LB8585"</f>
        <v>LB8585</v>
      </c>
      <c r="C12135" t="s">
        <v>11912</v>
      </c>
    </row>
    <row r="12136" spans="1:3" x14ac:dyDescent="0.25">
      <c r="A12136" t="str">
        <f>"0611830842100"</f>
        <v>0611830842100</v>
      </c>
      <c r="B12136" t="str">
        <f>"LB8523"</f>
        <v>LB8523</v>
      </c>
      <c r="C12136" t="s">
        <v>11913</v>
      </c>
    </row>
    <row r="12137" spans="1:3" x14ac:dyDescent="0.25">
      <c r="A12137" t="str">
        <f>"0611830843100"</f>
        <v>0611830843100</v>
      </c>
      <c r="B12137" t="str">
        <f>"LB8586"</f>
        <v>LB8586</v>
      </c>
      <c r="C12137" t="s">
        <v>11914</v>
      </c>
    </row>
    <row r="12138" spans="1:3" x14ac:dyDescent="0.25">
      <c r="A12138" t="str">
        <f>"0611830846100"</f>
        <v>0611830846100</v>
      </c>
      <c r="B12138" t="str">
        <f>"LK1395"</f>
        <v>LK1395</v>
      </c>
      <c r="C12138" t="s">
        <v>11915</v>
      </c>
    </row>
    <row r="12139" spans="1:3" x14ac:dyDescent="0.25">
      <c r="A12139" t="str">
        <f>"0611830847100"</f>
        <v>0611830847100</v>
      </c>
      <c r="B12139" t="str">
        <f>"LB8525"</f>
        <v>LB8525</v>
      </c>
      <c r="C12139" t="s">
        <v>11916</v>
      </c>
    </row>
    <row r="12140" spans="1:3" x14ac:dyDescent="0.25">
      <c r="A12140" t="str">
        <f>"0611830848100"</f>
        <v>0611830848100</v>
      </c>
      <c r="B12140" t="str">
        <f>"LB8601"</f>
        <v>LB8601</v>
      </c>
      <c r="C12140" t="s">
        <v>11917</v>
      </c>
    </row>
    <row r="12141" spans="1:3" x14ac:dyDescent="0.25">
      <c r="A12141" t="str">
        <f>"0611830849100"</f>
        <v>0611830849100</v>
      </c>
      <c r="B12141" t="str">
        <f>"LB8602"</f>
        <v>LB8602</v>
      </c>
      <c r="C12141" t="s">
        <v>11918</v>
      </c>
    </row>
    <row r="12142" spans="1:3" x14ac:dyDescent="0.25">
      <c r="A12142" t="str">
        <f>"0611830850100"</f>
        <v>0611830850100</v>
      </c>
      <c r="B12142" t="str">
        <f>"LB8747"</f>
        <v>LB8747</v>
      </c>
      <c r="C12142" t="s">
        <v>11919</v>
      </c>
    </row>
    <row r="12143" spans="1:3" x14ac:dyDescent="0.25">
      <c r="A12143" t="str">
        <f>"0611830851100"</f>
        <v>0611830851100</v>
      </c>
      <c r="B12143" t="str">
        <f>"LB8643"</f>
        <v>LB8643</v>
      </c>
      <c r="C12143" t="s">
        <v>11920</v>
      </c>
    </row>
    <row r="12144" spans="1:3" x14ac:dyDescent="0.25">
      <c r="A12144" t="str">
        <f>"0611830852100"</f>
        <v>0611830852100</v>
      </c>
      <c r="B12144" t="str">
        <f>"LB8748"</f>
        <v>LB8748</v>
      </c>
      <c r="C12144" t="s">
        <v>11921</v>
      </c>
    </row>
    <row r="12145" spans="1:3" x14ac:dyDescent="0.25">
      <c r="A12145" t="str">
        <f>"0611830853100"</f>
        <v>0611830853100</v>
      </c>
      <c r="B12145" t="str">
        <f>"LB8644"</f>
        <v>LB8644</v>
      </c>
      <c r="C12145" t="s">
        <v>11922</v>
      </c>
    </row>
    <row r="12146" spans="1:3" x14ac:dyDescent="0.25">
      <c r="A12146" t="str">
        <f>"0611830854100"</f>
        <v>0611830854100</v>
      </c>
      <c r="B12146" t="str">
        <f>"LB8750"</f>
        <v>LB8750</v>
      </c>
      <c r="C12146" t="s">
        <v>11923</v>
      </c>
    </row>
    <row r="12147" spans="1:3" x14ac:dyDescent="0.25">
      <c r="A12147" t="str">
        <f>"0611830855100"</f>
        <v>0611830855100</v>
      </c>
      <c r="B12147" t="str">
        <f>"LK0036"</f>
        <v>LK0036</v>
      </c>
      <c r="C12147" t="s">
        <v>11924</v>
      </c>
    </row>
    <row r="12148" spans="1:3" x14ac:dyDescent="0.25">
      <c r="A12148" t="str">
        <f>"0611830856100"</f>
        <v>0611830856100</v>
      </c>
      <c r="B12148" t="str">
        <f>"LB8755"</f>
        <v>LB8755</v>
      </c>
      <c r="C12148" t="s">
        <v>11925</v>
      </c>
    </row>
    <row r="12149" spans="1:3" x14ac:dyDescent="0.25">
      <c r="A12149" t="str">
        <f>"0611830857100"</f>
        <v>0611830857100</v>
      </c>
      <c r="B12149" t="str">
        <f>"LB8757"</f>
        <v>LB8757</v>
      </c>
      <c r="C12149" t="s">
        <v>11926</v>
      </c>
    </row>
    <row r="12150" spans="1:3" x14ac:dyDescent="0.25">
      <c r="A12150" t="str">
        <f>"0611830858100"</f>
        <v>0611830858100</v>
      </c>
      <c r="B12150" t="str">
        <f>"LB8758"</f>
        <v>LB8758</v>
      </c>
      <c r="C12150" t="s">
        <v>11927</v>
      </c>
    </row>
    <row r="12151" spans="1:3" x14ac:dyDescent="0.25">
      <c r="A12151" t="str">
        <f>"0611830859100"</f>
        <v>0611830859100</v>
      </c>
      <c r="B12151" t="str">
        <f>"LB8760"</f>
        <v>LB8760</v>
      </c>
      <c r="C12151" t="s">
        <v>11928</v>
      </c>
    </row>
    <row r="12152" spans="1:3" x14ac:dyDescent="0.25">
      <c r="A12152" t="str">
        <f>"0611830860100"</f>
        <v>0611830860100</v>
      </c>
      <c r="B12152" t="str">
        <f>"LB8762"</f>
        <v>LB8762</v>
      </c>
      <c r="C12152" t="s">
        <v>11929</v>
      </c>
    </row>
    <row r="12153" spans="1:3" x14ac:dyDescent="0.25">
      <c r="A12153" t="str">
        <f>"0611830861100"</f>
        <v>0611830861100</v>
      </c>
      <c r="B12153" t="str">
        <f>"LK6294"</f>
        <v>LK6294</v>
      </c>
      <c r="C12153" t="s">
        <v>11930</v>
      </c>
    </row>
    <row r="12154" spans="1:3" x14ac:dyDescent="0.25">
      <c r="A12154" t="str">
        <f>"0611830862100"</f>
        <v>0611830862100</v>
      </c>
      <c r="B12154" t="str">
        <f>"LK4429"</f>
        <v>LK4429</v>
      </c>
      <c r="C12154" t="s">
        <v>11931</v>
      </c>
    </row>
    <row r="12155" spans="1:3" x14ac:dyDescent="0.25">
      <c r="A12155" t="str">
        <f>"0611830863100"</f>
        <v>0611830863100</v>
      </c>
      <c r="B12155" t="str">
        <f>"LK4044"</f>
        <v>LK4044</v>
      </c>
      <c r="C12155" t="s">
        <v>11932</v>
      </c>
    </row>
    <row r="12156" spans="1:3" x14ac:dyDescent="0.25">
      <c r="A12156" t="str">
        <f>"0611830864100"</f>
        <v>0611830864100</v>
      </c>
      <c r="B12156" t="str">
        <f>"LK1999"</f>
        <v>LK1999</v>
      </c>
      <c r="C12156" t="s">
        <v>11933</v>
      </c>
    </row>
    <row r="12157" spans="1:3" x14ac:dyDescent="0.25">
      <c r="A12157" t="str">
        <f>"0611830865100"</f>
        <v>0611830865100</v>
      </c>
      <c r="B12157" t="str">
        <f>"LK6343"</f>
        <v>LK6343</v>
      </c>
      <c r="C12157" t="s">
        <v>11934</v>
      </c>
    </row>
    <row r="12158" spans="1:3" x14ac:dyDescent="0.25">
      <c r="A12158" t="str">
        <f>"0611830867100"</f>
        <v>0611830867100</v>
      </c>
      <c r="B12158" t="str">
        <f>"LK4045"</f>
        <v>LK4045</v>
      </c>
      <c r="C12158" t="s">
        <v>11935</v>
      </c>
    </row>
    <row r="12159" spans="1:3" x14ac:dyDescent="0.25">
      <c r="A12159" t="str">
        <f>"0611830868100"</f>
        <v>0611830868100</v>
      </c>
      <c r="B12159" t="str">
        <f>"LK6344"</f>
        <v>LK6344</v>
      </c>
      <c r="C12159" t="s">
        <v>11936</v>
      </c>
    </row>
    <row r="12160" spans="1:3" x14ac:dyDescent="0.25">
      <c r="A12160" t="str">
        <f>"0611830869100"</f>
        <v>0611830869100</v>
      </c>
      <c r="B12160" t="str">
        <f>"LK2000"</f>
        <v>LK2000</v>
      </c>
      <c r="C12160" t="s">
        <v>11937</v>
      </c>
    </row>
    <row r="12161" spans="1:3" x14ac:dyDescent="0.25">
      <c r="A12161" t="str">
        <f>"0611830870100"</f>
        <v>0611830870100</v>
      </c>
      <c r="B12161" t="str">
        <f>"LK2001"</f>
        <v>LK2001</v>
      </c>
      <c r="C12161" t="s">
        <v>11938</v>
      </c>
    </row>
    <row r="12162" spans="1:3" x14ac:dyDescent="0.25">
      <c r="A12162" t="str">
        <f>"0611830871100"</f>
        <v>0611830871100</v>
      </c>
      <c r="B12162" t="str">
        <f>"LK2002"</f>
        <v>LK2002</v>
      </c>
      <c r="C12162" t="s">
        <v>11939</v>
      </c>
    </row>
    <row r="12163" spans="1:3" x14ac:dyDescent="0.25">
      <c r="A12163" t="str">
        <f>"0611830872100"</f>
        <v>0611830872100</v>
      </c>
      <c r="B12163" t="str">
        <f>"LK6144"</f>
        <v>LK6144</v>
      </c>
      <c r="C12163" t="s">
        <v>11940</v>
      </c>
    </row>
    <row r="12164" spans="1:3" x14ac:dyDescent="0.25">
      <c r="A12164" t="str">
        <f>"0611830874100"</f>
        <v>0611830874100</v>
      </c>
      <c r="B12164" t="str">
        <f>"LK2003"</f>
        <v>LK2003</v>
      </c>
      <c r="C12164" t="s">
        <v>11941</v>
      </c>
    </row>
    <row r="12165" spans="1:3" x14ac:dyDescent="0.25">
      <c r="A12165" t="str">
        <f>"0611830875100"</f>
        <v>0611830875100</v>
      </c>
      <c r="B12165" t="str">
        <f>"LK2004"</f>
        <v>LK2004</v>
      </c>
      <c r="C12165" t="s">
        <v>11942</v>
      </c>
    </row>
    <row r="12166" spans="1:3" x14ac:dyDescent="0.25">
      <c r="A12166" t="str">
        <f>"0611830876100"</f>
        <v>0611830876100</v>
      </c>
      <c r="B12166" t="str">
        <f>"LK2005"</f>
        <v>LK2005</v>
      </c>
      <c r="C12166" t="s">
        <v>11943</v>
      </c>
    </row>
    <row r="12167" spans="1:3" x14ac:dyDescent="0.25">
      <c r="A12167" t="str">
        <f>"0611830877100"</f>
        <v>0611830877100</v>
      </c>
      <c r="B12167" t="str">
        <f>"LK2711"</f>
        <v>LK2711</v>
      </c>
      <c r="C12167" t="s">
        <v>11944</v>
      </c>
    </row>
    <row r="12168" spans="1:3" x14ac:dyDescent="0.25">
      <c r="A12168" t="str">
        <f>"0611830878100"</f>
        <v>0611830878100</v>
      </c>
      <c r="B12168" t="str">
        <f>"LK4527"</f>
        <v>LK4527</v>
      </c>
      <c r="C12168" t="s">
        <v>11945</v>
      </c>
    </row>
    <row r="12169" spans="1:3" x14ac:dyDescent="0.25">
      <c r="A12169" t="str">
        <f>"0611830879100"</f>
        <v>0611830879100</v>
      </c>
      <c r="B12169" t="str">
        <f>"LK6146"</f>
        <v>LK6146</v>
      </c>
      <c r="C12169" t="s">
        <v>11946</v>
      </c>
    </row>
    <row r="12170" spans="1:3" x14ac:dyDescent="0.25">
      <c r="A12170" t="str">
        <f>"0611830881100"</f>
        <v>0611830881100</v>
      </c>
      <c r="B12170" t="str">
        <f>"LK2006"</f>
        <v>LK2006</v>
      </c>
      <c r="C12170" t="s">
        <v>11947</v>
      </c>
    </row>
    <row r="12171" spans="1:3" x14ac:dyDescent="0.25">
      <c r="A12171" t="str">
        <f>"0611830882100"</f>
        <v>0611830882100</v>
      </c>
      <c r="B12171" t="str">
        <f>"LK4430"</f>
        <v>LK4430</v>
      </c>
      <c r="C12171" t="s">
        <v>11948</v>
      </c>
    </row>
    <row r="12172" spans="1:3" x14ac:dyDescent="0.25">
      <c r="A12172" t="str">
        <f>"0611830883100"</f>
        <v>0611830883100</v>
      </c>
      <c r="B12172" t="str">
        <f>"LK5610"</f>
        <v>LK5610</v>
      </c>
      <c r="C12172" t="s">
        <v>11949</v>
      </c>
    </row>
    <row r="12173" spans="1:3" x14ac:dyDescent="0.25">
      <c r="A12173" t="str">
        <f>"0611830884100"</f>
        <v>0611830884100</v>
      </c>
      <c r="B12173" t="str">
        <f>"LK2007"</f>
        <v>LK2007</v>
      </c>
      <c r="C12173" t="s">
        <v>11950</v>
      </c>
    </row>
    <row r="12174" spans="1:3" x14ac:dyDescent="0.25">
      <c r="A12174" t="str">
        <f>"0611830885100"</f>
        <v>0611830885100</v>
      </c>
      <c r="B12174" t="str">
        <f>"LK2008"</f>
        <v>LK2008</v>
      </c>
      <c r="C12174" t="s">
        <v>11951</v>
      </c>
    </row>
    <row r="12175" spans="1:3" x14ac:dyDescent="0.25">
      <c r="A12175" t="str">
        <f>"0611830886100"</f>
        <v>0611830886100</v>
      </c>
      <c r="B12175" t="str">
        <f>"LK6148"</f>
        <v>LK6148</v>
      </c>
      <c r="C12175" t="s">
        <v>11952</v>
      </c>
    </row>
    <row r="12176" spans="1:3" x14ac:dyDescent="0.25">
      <c r="A12176" t="str">
        <f>"0611830887100"</f>
        <v>0611830887100</v>
      </c>
      <c r="B12176" t="str">
        <f>"LK6149"</f>
        <v>LK6149</v>
      </c>
      <c r="C12176" t="s">
        <v>11953</v>
      </c>
    </row>
    <row r="12177" spans="1:3" x14ac:dyDescent="0.25">
      <c r="A12177" t="str">
        <f>"0611830888100"</f>
        <v>0611830888100</v>
      </c>
      <c r="B12177" t="str">
        <f>"LK6150"</f>
        <v>LK6150</v>
      </c>
      <c r="C12177" t="s">
        <v>11954</v>
      </c>
    </row>
    <row r="12178" spans="1:3" x14ac:dyDescent="0.25">
      <c r="A12178" t="str">
        <f>"0611830889100"</f>
        <v>0611830889100</v>
      </c>
      <c r="B12178" t="str">
        <f>"LK6151"</f>
        <v>LK6151</v>
      </c>
      <c r="C12178" t="s">
        <v>11955</v>
      </c>
    </row>
    <row r="12179" spans="1:3" x14ac:dyDescent="0.25">
      <c r="A12179" t="str">
        <f>"0611830890100"</f>
        <v>0611830890100</v>
      </c>
      <c r="B12179" t="str">
        <f>"LK6152"</f>
        <v>LK6152</v>
      </c>
      <c r="C12179" t="s">
        <v>11956</v>
      </c>
    </row>
    <row r="12180" spans="1:3" x14ac:dyDescent="0.25">
      <c r="A12180" t="str">
        <f>"0611830891100"</f>
        <v>0611830891100</v>
      </c>
      <c r="B12180" t="str">
        <f>"LK6153"</f>
        <v>LK6153</v>
      </c>
      <c r="C12180" t="s">
        <v>11957</v>
      </c>
    </row>
    <row r="12181" spans="1:3" x14ac:dyDescent="0.25">
      <c r="A12181" t="str">
        <f>"0611830892100"</f>
        <v>0611830892100</v>
      </c>
      <c r="B12181" t="str">
        <f>"LK6449"</f>
        <v>LK6449</v>
      </c>
      <c r="C12181" t="s">
        <v>11958</v>
      </c>
    </row>
    <row r="12182" spans="1:3" x14ac:dyDescent="0.25">
      <c r="A12182" t="str">
        <f>"0611830893100"</f>
        <v>0611830893100</v>
      </c>
      <c r="B12182" t="str">
        <f>"LK6450"</f>
        <v>LK6450</v>
      </c>
      <c r="C12182" t="s">
        <v>11959</v>
      </c>
    </row>
    <row r="12183" spans="1:3" x14ac:dyDescent="0.25">
      <c r="A12183" t="str">
        <f>"0611830894100"</f>
        <v>0611830894100</v>
      </c>
      <c r="B12183" t="str">
        <f>"LK6451"</f>
        <v>LK6451</v>
      </c>
      <c r="C12183" t="s">
        <v>11960</v>
      </c>
    </row>
    <row r="12184" spans="1:3" x14ac:dyDescent="0.25">
      <c r="A12184" t="str">
        <f>"0611830895100"</f>
        <v>0611830895100</v>
      </c>
      <c r="B12184" t="str">
        <f>"LK6452"</f>
        <v>LK6452</v>
      </c>
      <c r="C12184" t="s">
        <v>11961</v>
      </c>
    </row>
    <row r="12185" spans="1:3" x14ac:dyDescent="0.25">
      <c r="A12185" t="str">
        <f>"0611830896100"</f>
        <v>0611830896100</v>
      </c>
      <c r="B12185" t="str">
        <f>"LK6453"</f>
        <v>LK6453</v>
      </c>
      <c r="C12185" t="s">
        <v>11962</v>
      </c>
    </row>
    <row r="12186" spans="1:3" x14ac:dyDescent="0.25">
      <c r="A12186" t="str">
        <f>"0611830897100"</f>
        <v>0611830897100</v>
      </c>
      <c r="B12186" t="str">
        <f>"LK6454"</f>
        <v>LK6454</v>
      </c>
      <c r="C12186" t="s">
        <v>11963</v>
      </c>
    </row>
    <row r="12187" spans="1:3" x14ac:dyDescent="0.25">
      <c r="A12187" t="str">
        <f>"0611830898100"</f>
        <v>0611830898100</v>
      </c>
      <c r="B12187" t="str">
        <f>"LK6455"</f>
        <v>LK6455</v>
      </c>
      <c r="C12187" t="s">
        <v>11964</v>
      </c>
    </row>
    <row r="12188" spans="1:3" x14ac:dyDescent="0.25">
      <c r="A12188" t="str">
        <f>"0611830899100"</f>
        <v>0611830899100</v>
      </c>
      <c r="B12188" t="str">
        <f>"LK6456"</f>
        <v>LK6456</v>
      </c>
      <c r="C12188" t="s">
        <v>11965</v>
      </c>
    </row>
    <row r="12189" spans="1:3" x14ac:dyDescent="0.25">
      <c r="A12189" t="str">
        <f>"0611830900100"</f>
        <v>0611830900100</v>
      </c>
      <c r="B12189" t="str">
        <f>"LK6457"</f>
        <v>LK6457</v>
      </c>
      <c r="C12189" t="s">
        <v>11966</v>
      </c>
    </row>
    <row r="12190" spans="1:3" x14ac:dyDescent="0.25">
      <c r="A12190" t="str">
        <f>"0611830901100"</f>
        <v>0611830901100</v>
      </c>
      <c r="B12190" t="str">
        <f>"LK6458"</f>
        <v>LK6458</v>
      </c>
      <c r="C12190" t="s">
        <v>11967</v>
      </c>
    </row>
    <row r="12191" spans="1:3" x14ac:dyDescent="0.25">
      <c r="A12191" t="str">
        <f>"0611830902100"</f>
        <v>0611830902100</v>
      </c>
      <c r="B12191" t="str">
        <f>"LK0976"</f>
        <v>LK0976</v>
      </c>
      <c r="C12191" t="s">
        <v>11968</v>
      </c>
    </row>
    <row r="12192" spans="1:3" x14ac:dyDescent="0.25">
      <c r="A12192" t="str">
        <f>"0611830903100"</f>
        <v>0611830903100</v>
      </c>
      <c r="B12192" t="str">
        <f>"LK0392"</f>
        <v>LK0392</v>
      </c>
      <c r="C12192" t="s">
        <v>11969</v>
      </c>
    </row>
    <row r="12193" spans="1:3" x14ac:dyDescent="0.25">
      <c r="A12193" t="str">
        <f>"0611830904100"</f>
        <v>0611830904100</v>
      </c>
      <c r="B12193" t="str">
        <f>"LK0393"</f>
        <v>LK0393</v>
      </c>
      <c r="C12193" t="s">
        <v>11970</v>
      </c>
    </row>
    <row r="12194" spans="1:3" x14ac:dyDescent="0.25">
      <c r="A12194" t="str">
        <f>"0611830906100"</f>
        <v>0611830906100</v>
      </c>
      <c r="B12194" t="str">
        <f>"LK0395"</f>
        <v>LK0395</v>
      </c>
      <c r="C12194" t="s">
        <v>11971</v>
      </c>
    </row>
    <row r="12195" spans="1:3" x14ac:dyDescent="0.25">
      <c r="A12195" t="str">
        <f>"0611830907100"</f>
        <v>0611830907100</v>
      </c>
      <c r="B12195" t="str">
        <f>"LK0977"</f>
        <v>LK0977</v>
      </c>
      <c r="C12195" t="s">
        <v>11972</v>
      </c>
    </row>
    <row r="12196" spans="1:3" x14ac:dyDescent="0.25">
      <c r="A12196" t="str">
        <f>"0611830909100"</f>
        <v>0611830909100</v>
      </c>
      <c r="B12196" t="str">
        <f>"LK0979"</f>
        <v>LK0979</v>
      </c>
      <c r="C12196" t="s">
        <v>11973</v>
      </c>
    </row>
    <row r="12197" spans="1:3" x14ac:dyDescent="0.25">
      <c r="A12197" t="str">
        <f>"0611830910100"</f>
        <v>0611830910100</v>
      </c>
      <c r="B12197" t="str">
        <f>"LK0396"</f>
        <v>LK0396</v>
      </c>
      <c r="C12197" t="s">
        <v>11974</v>
      </c>
    </row>
    <row r="12198" spans="1:3" x14ac:dyDescent="0.25">
      <c r="A12198" t="str">
        <f>"0611830911100"</f>
        <v>0611830911100</v>
      </c>
      <c r="B12198" t="str">
        <f>"LB8784"</f>
        <v>LB8784</v>
      </c>
      <c r="C12198" t="s">
        <v>11975</v>
      </c>
    </row>
    <row r="12199" spans="1:3" x14ac:dyDescent="0.25">
      <c r="A12199" t="str">
        <f>"0611830912100"</f>
        <v>0611830912100</v>
      </c>
      <c r="B12199" t="str">
        <f>"LB8786"</f>
        <v>LB8786</v>
      </c>
      <c r="C12199" t="s">
        <v>11976</v>
      </c>
    </row>
    <row r="12200" spans="1:3" x14ac:dyDescent="0.25">
      <c r="A12200" t="str">
        <f>"0611830913100"</f>
        <v>0611830913100</v>
      </c>
      <c r="B12200" t="str">
        <f>"LB8781"</f>
        <v>LB8781</v>
      </c>
      <c r="C12200" t="s">
        <v>11977</v>
      </c>
    </row>
    <row r="12201" spans="1:3" x14ac:dyDescent="0.25">
      <c r="A12201" t="str">
        <f>"0611830914100"</f>
        <v>0611830914100</v>
      </c>
      <c r="B12201" t="str">
        <f>"LB8783"</f>
        <v>LB8783</v>
      </c>
      <c r="C12201" t="s">
        <v>11978</v>
      </c>
    </row>
    <row r="12202" spans="1:3" x14ac:dyDescent="0.25">
      <c r="A12202" t="str">
        <f>"0611830915100"</f>
        <v>0611830915100</v>
      </c>
      <c r="B12202" t="str">
        <f>"LB8556"</f>
        <v>LB8556</v>
      </c>
      <c r="C12202" t="s">
        <v>11979</v>
      </c>
    </row>
    <row r="12203" spans="1:3" x14ac:dyDescent="0.25">
      <c r="A12203" t="str">
        <f>"0611830916100"</f>
        <v>0611830916100</v>
      </c>
      <c r="B12203" t="str">
        <f>"LB8791"</f>
        <v>LB8791</v>
      </c>
      <c r="C12203" t="s">
        <v>11980</v>
      </c>
    </row>
    <row r="12204" spans="1:3" x14ac:dyDescent="0.25">
      <c r="A12204" t="str">
        <f>"0611830917100"</f>
        <v>0611830917100</v>
      </c>
      <c r="B12204" t="str">
        <f>"LB8785"</f>
        <v>LB8785</v>
      </c>
      <c r="C12204" t="s">
        <v>11981</v>
      </c>
    </row>
    <row r="12205" spans="1:3" x14ac:dyDescent="0.25">
      <c r="A12205" t="str">
        <f>"0611830918100"</f>
        <v>0611830918100</v>
      </c>
      <c r="B12205" t="str">
        <f>"LB8787"</f>
        <v>LB8787</v>
      </c>
      <c r="C12205" t="s">
        <v>11982</v>
      </c>
    </row>
    <row r="12206" spans="1:3" x14ac:dyDescent="0.25">
      <c r="A12206" t="str">
        <f>"0611830919100"</f>
        <v>0611830919100</v>
      </c>
      <c r="B12206" t="str">
        <f>"LB8789"</f>
        <v>LB8789</v>
      </c>
      <c r="C12206" t="s">
        <v>11983</v>
      </c>
    </row>
    <row r="12207" spans="1:3" x14ac:dyDescent="0.25">
      <c r="A12207" t="str">
        <f>"0611830920100"</f>
        <v>0611830920100</v>
      </c>
      <c r="B12207" t="str">
        <f>"LK3026"</f>
        <v>LK3026</v>
      </c>
      <c r="C12207" t="s">
        <v>11984</v>
      </c>
    </row>
    <row r="12208" spans="1:3" x14ac:dyDescent="0.25">
      <c r="A12208" t="str">
        <f>"0611830921100"</f>
        <v>0611830921100</v>
      </c>
      <c r="B12208" t="str">
        <f>"LK3027"</f>
        <v>LK3027</v>
      </c>
      <c r="C12208" t="s">
        <v>11985</v>
      </c>
    </row>
    <row r="12209" spans="1:3" x14ac:dyDescent="0.25">
      <c r="A12209" t="str">
        <f>"0611830922100"</f>
        <v>0611830922100</v>
      </c>
      <c r="B12209" t="str">
        <f>"LK3028"</f>
        <v>LK3028</v>
      </c>
      <c r="C12209" t="s">
        <v>11986</v>
      </c>
    </row>
    <row r="12210" spans="1:3" x14ac:dyDescent="0.25">
      <c r="A12210" t="str">
        <f>"0611830923100"</f>
        <v>0611830923100</v>
      </c>
      <c r="B12210" t="str">
        <f>"LK6295"</f>
        <v>LK6295</v>
      </c>
      <c r="C12210" t="s">
        <v>11987</v>
      </c>
    </row>
    <row r="12211" spans="1:3" x14ac:dyDescent="0.25">
      <c r="A12211" t="str">
        <f>"0611830924100"</f>
        <v>0611830924100</v>
      </c>
      <c r="B12211" t="str">
        <f>"LK6667"</f>
        <v>LK6667</v>
      </c>
      <c r="C12211" t="s">
        <v>11988</v>
      </c>
    </row>
    <row r="12212" spans="1:3" x14ac:dyDescent="0.25">
      <c r="A12212" t="str">
        <f>"0611830925100"</f>
        <v>0611830925100</v>
      </c>
      <c r="B12212" t="str">
        <f>"LK3029"</f>
        <v>LK3029</v>
      </c>
      <c r="C12212" t="s">
        <v>11989</v>
      </c>
    </row>
    <row r="12213" spans="1:3" x14ac:dyDescent="0.25">
      <c r="A12213" t="str">
        <f>"0611830926100"</f>
        <v>0611830926100</v>
      </c>
      <c r="B12213" t="str">
        <f>"LK3030"</f>
        <v>LK3030</v>
      </c>
      <c r="C12213" t="s">
        <v>11990</v>
      </c>
    </row>
    <row r="12214" spans="1:3" x14ac:dyDescent="0.25">
      <c r="A12214" t="str">
        <f>"0611830927100"</f>
        <v>0611830927100</v>
      </c>
      <c r="B12214" t="str">
        <f>"LK3031"</f>
        <v>LK3031</v>
      </c>
      <c r="C12214" t="s">
        <v>11991</v>
      </c>
    </row>
    <row r="12215" spans="1:3" x14ac:dyDescent="0.25">
      <c r="A12215" t="str">
        <f>"0611830929100"</f>
        <v>0611830929100</v>
      </c>
      <c r="B12215" t="str">
        <f>"LK6879"</f>
        <v>LK6879</v>
      </c>
      <c r="C12215" t="s">
        <v>11992</v>
      </c>
    </row>
    <row r="12216" spans="1:3" x14ac:dyDescent="0.25">
      <c r="A12216" t="str">
        <f>"0611830930100"</f>
        <v>0611830930100</v>
      </c>
      <c r="B12216" t="str">
        <f>"LK6880"</f>
        <v>LK6880</v>
      </c>
      <c r="C12216" t="s">
        <v>11993</v>
      </c>
    </row>
    <row r="12217" spans="1:3" x14ac:dyDescent="0.25">
      <c r="A12217" t="str">
        <f>"0611830931100"</f>
        <v>0611830931100</v>
      </c>
      <c r="B12217" t="str">
        <f>"LK6881"</f>
        <v>LK6881</v>
      </c>
      <c r="C12217" t="s">
        <v>11994</v>
      </c>
    </row>
    <row r="12218" spans="1:3" x14ac:dyDescent="0.25">
      <c r="A12218" t="str">
        <f>"0611830932100"</f>
        <v>0611830932100</v>
      </c>
      <c r="B12218" t="str">
        <f>"LK6882"</f>
        <v>LK6882</v>
      </c>
      <c r="C12218" t="s">
        <v>11995</v>
      </c>
    </row>
    <row r="12219" spans="1:3" x14ac:dyDescent="0.25">
      <c r="A12219" t="str">
        <f>"0611884471100"</f>
        <v>0611884471100</v>
      </c>
      <c r="B12219" t="str">
        <f>"LK7178"</f>
        <v>LK7178</v>
      </c>
      <c r="C12219" t="s">
        <v>11996</v>
      </c>
    </row>
    <row r="12220" spans="1:3" x14ac:dyDescent="0.25">
      <c r="A12220" t="str">
        <f>"0611830934100"</f>
        <v>0611830934100</v>
      </c>
      <c r="B12220" t="str">
        <f>"LB8805"</f>
        <v>LB8805</v>
      </c>
      <c r="C12220" t="s">
        <v>11997</v>
      </c>
    </row>
    <row r="12221" spans="1:3" x14ac:dyDescent="0.25">
      <c r="A12221" t="str">
        <f>"0611830935100"</f>
        <v>0611830935100</v>
      </c>
      <c r="B12221" t="str">
        <f>"LK6524"</f>
        <v>LK6524</v>
      </c>
      <c r="C12221" t="s">
        <v>11998</v>
      </c>
    </row>
    <row r="12222" spans="1:3" x14ac:dyDescent="0.25">
      <c r="A12222" t="str">
        <f>"0611830941100"</f>
        <v>0611830941100</v>
      </c>
      <c r="B12222" t="str">
        <f>"LK4369"</f>
        <v>LK4369</v>
      </c>
      <c r="C12222" t="s">
        <v>11999</v>
      </c>
    </row>
    <row r="12223" spans="1:3" x14ac:dyDescent="0.25">
      <c r="A12223" t="str">
        <f>"0611830942100"</f>
        <v>0611830942100</v>
      </c>
      <c r="B12223" t="str">
        <f>"LK6296"</f>
        <v>LK6296</v>
      </c>
      <c r="C12223" t="s">
        <v>12000</v>
      </c>
    </row>
    <row r="12224" spans="1:3" x14ac:dyDescent="0.25">
      <c r="A12224" t="str">
        <f>"0611839380100"</f>
        <v>0611839380100</v>
      </c>
      <c r="B12224" t="str">
        <f>"LK1881"</f>
        <v>LK1881</v>
      </c>
      <c r="C12224" t="s">
        <v>12001</v>
      </c>
    </row>
    <row r="12225" spans="1:3" x14ac:dyDescent="0.25">
      <c r="A12225" t="str">
        <f>"0611839384025"</f>
        <v>0611839384025</v>
      </c>
      <c r="B12225" t="str">
        <f>"MC4257"</f>
        <v>MC4257</v>
      </c>
      <c r="C12225" t="s">
        <v>12002</v>
      </c>
    </row>
    <row r="12226" spans="1:3" x14ac:dyDescent="0.25">
      <c r="A12226" t="str">
        <f>"0611884472025"</f>
        <v>0611884472025</v>
      </c>
      <c r="B12226" t="str">
        <f>"MQ0849"</f>
        <v>MQ0849</v>
      </c>
      <c r="C12226" t="s">
        <v>12003</v>
      </c>
    </row>
    <row r="12227" spans="1:3" x14ac:dyDescent="0.25">
      <c r="A12227" t="str">
        <f>"0611839385100"</f>
        <v>0611839385100</v>
      </c>
      <c r="B12227" t="str">
        <f>"LG6931"</f>
        <v>LG6931</v>
      </c>
      <c r="C12227" t="s">
        <v>12004</v>
      </c>
    </row>
    <row r="12228" spans="1:3" x14ac:dyDescent="0.25">
      <c r="A12228" t="str">
        <f>"0611839386025"</f>
        <v>0611839386025</v>
      </c>
      <c r="B12228" t="str">
        <f>"MC2339"</f>
        <v>MC2339</v>
      </c>
      <c r="C12228" t="s">
        <v>12005</v>
      </c>
    </row>
    <row r="12229" spans="1:3" x14ac:dyDescent="0.25">
      <c r="A12229" t="str">
        <f>"0611839387100"</f>
        <v>0611839387100</v>
      </c>
      <c r="B12229" t="str">
        <f>"LK0599"</f>
        <v>LK0599</v>
      </c>
      <c r="C12229" t="s">
        <v>12006</v>
      </c>
    </row>
    <row r="12230" spans="1:3" x14ac:dyDescent="0.25">
      <c r="A12230" t="str">
        <f>"0611857111100"</f>
        <v>0611857111100</v>
      </c>
      <c r="B12230" t="str">
        <f>"LL5045"</f>
        <v>LL5045</v>
      </c>
      <c r="C12230" t="s">
        <v>12007</v>
      </c>
    </row>
    <row r="12231" spans="1:3" x14ac:dyDescent="0.25">
      <c r="A12231" t="str">
        <f>"0611839388100"</f>
        <v>0611839388100</v>
      </c>
      <c r="B12231" t="str">
        <f>"LL0066"</f>
        <v>LL0066</v>
      </c>
      <c r="C12231" t="s">
        <v>12008</v>
      </c>
    </row>
    <row r="12232" spans="1:3" x14ac:dyDescent="0.25">
      <c r="A12232" t="str">
        <f>"0611839389100"</f>
        <v>0611839389100</v>
      </c>
      <c r="B12232" t="str">
        <f>"LL0033"</f>
        <v>LL0033</v>
      </c>
      <c r="C12232" t="s">
        <v>12009</v>
      </c>
    </row>
    <row r="12233" spans="1:3" x14ac:dyDescent="0.25">
      <c r="A12233" t="str">
        <f>"0611839390100"</f>
        <v>0611839390100</v>
      </c>
      <c r="B12233" t="str">
        <f>"LL0134"</f>
        <v>LL0134</v>
      </c>
      <c r="C12233" t="s">
        <v>12010</v>
      </c>
    </row>
    <row r="12234" spans="1:3" x14ac:dyDescent="0.25">
      <c r="A12234" t="str">
        <f>"0611839391100"</f>
        <v>0611839391100</v>
      </c>
      <c r="B12234" t="str">
        <f>"LL0007"</f>
        <v>LL0007</v>
      </c>
      <c r="C12234" t="s">
        <v>12011</v>
      </c>
    </row>
    <row r="12235" spans="1:3" x14ac:dyDescent="0.25">
      <c r="A12235" t="str">
        <f>"0611839392100"</f>
        <v>0611839392100</v>
      </c>
      <c r="B12235" t="str">
        <f>"LL3700"</f>
        <v>LL3700</v>
      </c>
      <c r="C12235" t="s">
        <v>12012</v>
      </c>
    </row>
    <row r="12236" spans="1:3" x14ac:dyDescent="0.25">
      <c r="A12236" t="str">
        <f>"0611839393100"</f>
        <v>0611839393100</v>
      </c>
      <c r="B12236" t="str">
        <f>"LL0067"</f>
        <v>LL0067</v>
      </c>
      <c r="C12236" t="s">
        <v>12013</v>
      </c>
    </row>
    <row r="12237" spans="1:3" x14ac:dyDescent="0.25">
      <c r="A12237" t="str">
        <f>"0611839394025"</f>
        <v>0611839394025</v>
      </c>
      <c r="B12237" t="str">
        <f>"MC3890"</f>
        <v>MC3890</v>
      </c>
      <c r="C12237" t="s">
        <v>12014</v>
      </c>
    </row>
    <row r="12238" spans="1:3" x14ac:dyDescent="0.25">
      <c r="A12238" t="str">
        <f>"0611833564100"</f>
        <v>0611833564100</v>
      </c>
      <c r="B12238" t="str">
        <f>"LL3775"</f>
        <v>LL3775</v>
      </c>
      <c r="C12238" t="s">
        <v>12017</v>
      </c>
    </row>
    <row r="12239" spans="1:3" x14ac:dyDescent="0.25">
      <c r="A12239" t="str">
        <f>"0611833565200"</f>
        <v>0611833565200</v>
      </c>
      <c r="B12239" t="str">
        <f>"KY3775"</f>
        <v>KY3775</v>
      </c>
      <c r="C12239" t="s">
        <v>12018</v>
      </c>
    </row>
    <row r="12240" spans="1:3" x14ac:dyDescent="0.25">
      <c r="A12240" t="str">
        <f>"0611839395100"</f>
        <v>0611839395100</v>
      </c>
      <c r="B12240" t="str">
        <f>"LL3750"</f>
        <v>LL3750</v>
      </c>
      <c r="C12240" t="s">
        <v>12019</v>
      </c>
    </row>
    <row r="12241" spans="1:3" x14ac:dyDescent="0.25">
      <c r="A12241" t="str">
        <f>"0611839396100"</f>
        <v>0611839396100</v>
      </c>
      <c r="B12241" t="str">
        <f>"LL3751"</f>
        <v>LL3751</v>
      </c>
      <c r="C12241" t="s">
        <v>12020</v>
      </c>
    </row>
    <row r="12242" spans="1:3" x14ac:dyDescent="0.25">
      <c r="A12242" t="str">
        <f>"0611833567100"</f>
        <v>0611833567100</v>
      </c>
      <c r="B12242" t="str">
        <f>"LL1706"</f>
        <v>LL1706</v>
      </c>
      <c r="C12242" t="s">
        <v>12021</v>
      </c>
    </row>
    <row r="12243" spans="1:3" x14ac:dyDescent="0.25">
      <c r="A12243" t="str">
        <f>"0611839397100"</f>
        <v>0611839397100</v>
      </c>
      <c r="B12243" t="str">
        <f>"LL3824"</f>
        <v>LL3824</v>
      </c>
      <c r="C12243" t="s">
        <v>12022</v>
      </c>
    </row>
    <row r="12244" spans="1:3" x14ac:dyDescent="0.25">
      <c r="A12244" t="str">
        <f>"0611833570100"</f>
        <v>0611833570100</v>
      </c>
      <c r="B12244" t="str">
        <f>"LL3779"</f>
        <v>LL3779</v>
      </c>
      <c r="C12244" t="s">
        <v>12023</v>
      </c>
    </row>
    <row r="12245" spans="1:3" x14ac:dyDescent="0.25">
      <c r="A12245" t="str">
        <f>"0611839398100"</f>
        <v>0611839398100</v>
      </c>
      <c r="B12245" t="str">
        <f>"LL3820"</f>
        <v>LL3820</v>
      </c>
      <c r="C12245" t="s">
        <v>12024</v>
      </c>
    </row>
    <row r="12246" spans="1:3" x14ac:dyDescent="0.25">
      <c r="A12246" t="str">
        <f>"0611839399100"</f>
        <v>0611839399100</v>
      </c>
      <c r="B12246" t="str">
        <f>"LL4076"</f>
        <v>LL4076</v>
      </c>
      <c r="C12246" t="s">
        <v>12025</v>
      </c>
    </row>
    <row r="12247" spans="1:3" x14ac:dyDescent="0.25">
      <c r="A12247" t="str">
        <f>"0611839400100"</f>
        <v>0611839400100</v>
      </c>
      <c r="B12247" t="str">
        <f>"LL8154"</f>
        <v>LL8154</v>
      </c>
      <c r="C12247" t="s">
        <v>12026</v>
      </c>
    </row>
    <row r="12248" spans="1:3" x14ac:dyDescent="0.25">
      <c r="A12248" t="str">
        <f>"0611839401100"</f>
        <v>0611839401100</v>
      </c>
      <c r="B12248" t="str">
        <f>"LL4843"</f>
        <v>LL4843</v>
      </c>
      <c r="C12248" t="s">
        <v>12027</v>
      </c>
    </row>
    <row r="12249" spans="1:3" x14ac:dyDescent="0.25">
      <c r="A12249" t="str">
        <f>"0611839402100"</f>
        <v>0611839402100</v>
      </c>
      <c r="B12249" t="str">
        <f>"LC9602"</f>
        <v>LC9602</v>
      </c>
      <c r="C12249" t="s">
        <v>12028</v>
      </c>
    </row>
    <row r="12250" spans="1:3" x14ac:dyDescent="0.25">
      <c r="A12250" t="str">
        <f>"0611839403100"</f>
        <v>0611839403100</v>
      </c>
      <c r="B12250" t="str">
        <f>"LL0035"</f>
        <v>LL0035</v>
      </c>
      <c r="C12250" t="s">
        <v>12029</v>
      </c>
    </row>
    <row r="12251" spans="1:3" x14ac:dyDescent="0.25">
      <c r="A12251" t="str">
        <f>"0611839404100"</f>
        <v>0611839404100</v>
      </c>
      <c r="B12251" t="str">
        <f>"LL3780"</f>
        <v>LL3780</v>
      </c>
      <c r="C12251" t="s">
        <v>12030</v>
      </c>
    </row>
    <row r="12252" spans="1:3" x14ac:dyDescent="0.25">
      <c r="A12252" t="str">
        <f>"0611839405100"</f>
        <v>0611839405100</v>
      </c>
      <c r="B12252" t="str">
        <f>"LL3783"</f>
        <v>LL3783</v>
      </c>
      <c r="C12252" t="s">
        <v>12031</v>
      </c>
    </row>
    <row r="12253" spans="1:3" x14ac:dyDescent="0.25">
      <c r="A12253" t="str">
        <f>"0611839406100"</f>
        <v>0611839406100</v>
      </c>
      <c r="B12253" t="str">
        <f>"LL8155"</f>
        <v>LL8155</v>
      </c>
      <c r="C12253" t="s">
        <v>12032</v>
      </c>
    </row>
    <row r="12254" spans="1:3" x14ac:dyDescent="0.25">
      <c r="A12254" t="str">
        <f>"0611839407100"</f>
        <v>0611839407100</v>
      </c>
      <c r="B12254" t="str">
        <f>"LL3829"</f>
        <v>LL3829</v>
      </c>
      <c r="C12254" t="s">
        <v>12033</v>
      </c>
    </row>
    <row r="12255" spans="1:3" x14ac:dyDescent="0.25">
      <c r="A12255" t="str">
        <f>"0611833575100"</f>
        <v>0611833575100</v>
      </c>
      <c r="B12255" t="str">
        <f>"LL3830"</f>
        <v>LL3830</v>
      </c>
      <c r="C12255" t="s">
        <v>12034</v>
      </c>
    </row>
    <row r="12256" spans="1:3" x14ac:dyDescent="0.25">
      <c r="A12256" t="str">
        <f>"0611833577200"</f>
        <v>0611833577200</v>
      </c>
      <c r="B12256" t="str">
        <f>"KY3785"</f>
        <v>KY3785</v>
      </c>
      <c r="C12256" t="s">
        <v>12035</v>
      </c>
    </row>
    <row r="12257" spans="1:3" x14ac:dyDescent="0.25">
      <c r="A12257" t="str">
        <f>"0611839410100"</f>
        <v>0611839410100</v>
      </c>
      <c r="B12257" t="str">
        <f>"LL0068"</f>
        <v>LL0068</v>
      </c>
      <c r="C12257" t="s">
        <v>12036</v>
      </c>
    </row>
    <row r="12258" spans="1:3" x14ac:dyDescent="0.25">
      <c r="A12258" t="str">
        <f>"0611833578100"</f>
        <v>0611833578100</v>
      </c>
      <c r="B12258" t="str">
        <f>"LL3827"</f>
        <v>LL3827</v>
      </c>
      <c r="C12258" t="s">
        <v>12037</v>
      </c>
    </row>
    <row r="12259" spans="1:3" x14ac:dyDescent="0.25">
      <c r="A12259" t="str">
        <f>"0611839411100"</f>
        <v>0611839411100</v>
      </c>
      <c r="B12259" t="str">
        <f>"LL4875"</f>
        <v>LL4875</v>
      </c>
      <c r="C12259" t="s">
        <v>12038</v>
      </c>
    </row>
    <row r="12260" spans="1:3" x14ac:dyDescent="0.25">
      <c r="A12260" t="str">
        <f>"0611833579100"</f>
        <v>0611833579100</v>
      </c>
      <c r="B12260" t="str">
        <f>"LL3790"</f>
        <v>LL3790</v>
      </c>
      <c r="C12260" t="s">
        <v>12039</v>
      </c>
    </row>
    <row r="12261" spans="1:3" x14ac:dyDescent="0.25">
      <c r="A12261" t="str">
        <f>"0611839412100"</f>
        <v>0611839412100</v>
      </c>
      <c r="B12261" t="str">
        <f>"LL3789"</f>
        <v>LL3789</v>
      </c>
      <c r="C12261" t="s">
        <v>12040</v>
      </c>
    </row>
    <row r="12262" spans="1:3" x14ac:dyDescent="0.25">
      <c r="A12262" t="str">
        <f>"0611839413100"</f>
        <v>0611839413100</v>
      </c>
      <c r="B12262" t="str">
        <f>"LL3792"</f>
        <v>LL3792</v>
      </c>
      <c r="C12262" t="s">
        <v>12041</v>
      </c>
    </row>
    <row r="12263" spans="1:3" x14ac:dyDescent="0.25">
      <c r="A12263" t="str">
        <f>"0611839414100"</f>
        <v>0611839414100</v>
      </c>
      <c r="B12263" t="str">
        <f>"LL3834"</f>
        <v>LL3834</v>
      </c>
      <c r="C12263" t="s">
        <v>12042</v>
      </c>
    </row>
    <row r="12264" spans="1:3" x14ac:dyDescent="0.25">
      <c r="A12264" t="str">
        <f>"0611839415100"</f>
        <v>0611839415100</v>
      </c>
      <c r="B12264" t="str">
        <f>"LL3835"</f>
        <v>LL3835</v>
      </c>
      <c r="C12264" t="s">
        <v>12043</v>
      </c>
    </row>
    <row r="12265" spans="1:3" x14ac:dyDescent="0.25">
      <c r="A12265" t="str">
        <f>"0611839416100"</f>
        <v>0611839416100</v>
      </c>
      <c r="B12265" t="str">
        <f>"LL3799"</f>
        <v>LL3799</v>
      </c>
      <c r="C12265" t="s">
        <v>12044</v>
      </c>
    </row>
    <row r="12266" spans="1:3" x14ac:dyDescent="0.25">
      <c r="A12266" t="str">
        <f>"0611839417100"</f>
        <v>0611839417100</v>
      </c>
      <c r="B12266" t="str">
        <f>"LL3818"</f>
        <v>LL3818</v>
      </c>
      <c r="C12266" t="s">
        <v>12045</v>
      </c>
    </row>
    <row r="12267" spans="1:3" x14ac:dyDescent="0.25">
      <c r="A12267" t="str">
        <f>"0611839418100"</f>
        <v>0611839418100</v>
      </c>
      <c r="B12267" t="str">
        <f>"LL8055"</f>
        <v>LL8055</v>
      </c>
      <c r="C12267" t="s">
        <v>12046</v>
      </c>
    </row>
    <row r="12268" spans="1:3" x14ac:dyDescent="0.25">
      <c r="A12268" t="str">
        <f>"0611839419100"</f>
        <v>0611839419100</v>
      </c>
      <c r="B12268" t="str">
        <f>"LL3760"</f>
        <v>LL3760</v>
      </c>
      <c r="C12268" t="s">
        <v>12047</v>
      </c>
    </row>
    <row r="12269" spans="1:3" x14ac:dyDescent="0.25">
      <c r="A12269" t="str">
        <f>"0611839420100"</f>
        <v>0611839420100</v>
      </c>
      <c r="B12269" t="str">
        <f>"LL8087"</f>
        <v>LL8087</v>
      </c>
      <c r="C12269" t="s">
        <v>12048</v>
      </c>
    </row>
    <row r="12270" spans="1:3" x14ac:dyDescent="0.25">
      <c r="A12270" t="str">
        <f>"0611884147100"</f>
        <v>0611884147100</v>
      </c>
      <c r="B12270" t="str">
        <f>"LL3802"</f>
        <v>LL3802</v>
      </c>
      <c r="C12270" t="s">
        <v>3524</v>
      </c>
    </row>
    <row r="12271" spans="1:3" x14ac:dyDescent="0.25">
      <c r="A12271" t="str">
        <f>"0611833598100"</f>
        <v>0611833598100</v>
      </c>
      <c r="B12271" t="str">
        <f>"LL3807"</f>
        <v>LL3807</v>
      </c>
      <c r="C12271" t="s">
        <v>3524</v>
      </c>
    </row>
    <row r="12272" spans="1:3" x14ac:dyDescent="0.25">
      <c r="A12272" t="str">
        <f>"0611833582100"</f>
        <v>0611833582100</v>
      </c>
      <c r="B12272" t="str">
        <f>"LL3822"</f>
        <v>LL3822</v>
      </c>
      <c r="C12272" t="s">
        <v>12049</v>
      </c>
    </row>
    <row r="12273" spans="1:3" x14ac:dyDescent="0.25">
      <c r="A12273" t="str">
        <f>"0611839421100"</f>
        <v>0611839421100</v>
      </c>
      <c r="B12273" t="str">
        <f>"LL3776"</f>
        <v>LL3776</v>
      </c>
      <c r="C12273" t="s">
        <v>12050</v>
      </c>
    </row>
    <row r="12274" spans="1:3" x14ac:dyDescent="0.25">
      <c r="A12274" t="str">
        <f>"0611839422100"</f>
        <v>0611839422100</v>
      </c>
      <c r="B12274" t="str">
        <f>"LL3796"</f>
        <v>LL3796</v>
      </c>
      <c r="C12274" t="s">
        <v>12051</v>
      </c>
    </row>
    <row r="12275" spans="1:3" x14ac:dyDescent="0.25">
      <c r="A12275" t="str">
        <f>"0611839424100"</f>
        <v>0611839424100</v>
      </c>
      <c r="B12275" t="str">
        <f>"LL8236"</f>
        <v>LL8236</v>
      </c>
      <c r="C12275" t="s">
        <v>12052</v>
      </c>
    </row>
    <row r="12276" spans="1:3" x14ac:dyDescent="0.25">
      <c r="A12276" t="str">
        <f>"0611839425100"</f>
        <v>0611839425100</v>
      </c>
      <c r="B12276" t="str">
        <f>"LL0189"</f>
        <v>LL0189</v>
      </c>
      <c r="C12276" t="s">
        <v>12053</v>
      </c>
    </row>
    <row r="12277" spans="1:3" x14ac:dyDescent="0.25">
      <c r="A12277" t="str">
        <f>"0611839426100"</f>
        <v>0611839426100</v>
      </c>
      <c r="B12277" t="str">
        <f>"LL8237"</f>
        <v>LL8237</v>
      </c>
      <c r="C12277" t="s">
        <v>12054</v>
      </c>
    </row>
    <row r="12278" spans="1:3" x14ac:dyDescent="0.25">
      <c r="A12278" t="str">
        <f>"0611839427100"</f>
        <v>0611839427100</v>
      </c>
      <c r="B12278" t="str">
        <f>"LL4854"</f>
        <v>LL4854</v>
      </c>
      <c r="C12278" t="s">
        <v>12055</v>
      </c>
    </row>
    <row r="12279" spans="1:3" x14ac:dyDescent="0.25">
      <c r="A12279" t="str">
        <f>"0611839428100"</f>
        <v>0611839428100</v>
      </c>
      <c r="B12279" t="str">
        <f>"LL0069"</f>
        <v>LL0069</v>
      </c>
      <c r="C12279" t="s">
        <v>12056</v>
      </c>
    </row>
    <row r="12280" spans="1:3" x14ac:dyDescent="0.25">
      <c r="A12280" t="str">
        <f>"0611839429100"</f>
        <v>0611839429100</v>
      </c>
      <c r="B12280" t="str">
        <f>"LL8028"</f>
        <v>LL8028</v>
      </c>
      <c r="C12280" t="s">
        <v>12057</v>
      </c>
    </row>
    <row r="12281" spans="1:3" x14ac:dyDescent="0.25">
      <c r="A12281" t="str">
        <f>"0611839430100"</f>
        <v>0611839430100</v>
      </c>
      <c r="B12281" t="str">
        <f>"LL8332"</f>
        <v>LL8332</v>
      </c>
      <c r="C12281" t="s">
        <v>12058</v>
      </c>
    </row>
    <row r="12282" spans="1:3" x14ac:dyDescent="0.25">
      <c r="A12282" t="str">
        <f>"0611839431100"</f>
        <v>0611839431100</v>
      </c>
      <c r="B12282" t="str">
        <f>"LL8128"</f>
        <v>LL8128</v>
      </c>
      <c r="C12282" t="s">
        <v>12059</v>
      </c>
    </row>
    <row r="12283" spans="1:3" x14ac:dyDescent="0.25">
      <c r="A12283" t="str">
        <f>"0611833585100"</f>
        <v>0611833585100</v>
      </c>
      <c r="B12283" t="str">
        <f>"LL3797"</f>
        <v>LL3797</v>
      </c>
      <c r="C12283" t="s">
        <v>12060</v>
      </c>
    </row>
    <row r="12284" spans="1:3" x14ac:dyDescent="0.25">
      <c r="A12284" t="str">
        <f>"0611839432100"</f>
        <v>0611839432100</v>
      </c>
      <c r="B12284" t="str">
        <f>"LL0008"</f>
        <v>LL0008</v>
      </c>
      <c r="C12284" t="s">
        <v>12061</v>
      </c>
    </row>
    <row r="12285" spans="1:3" x14ac:dyDescent="0.25">
      <c r="A12285" t="str">
        <f>"0611839433100"</f>
        <v>0611839433100</v>
      </c>
      <c r="B12285" t="str">
        <f>"LL0169"</f>
        <v>LL0169</v>
      </c>
      <c r="C12285" t="s">
        <v>12062</v>
      </c>
    </row>
    <row r="12286" spans="1:3" x14ac:dyDescent="0.25">
      <c r="A12286" t="str">
        <f>"0611839434100"</f>
        <v>0611839434100</v>
      </c>
      <c r="B12286" t="str">
        <f>"LL3803"</f>
        <v>LL3803</v>
      </c>
      <c r="C12286" t="s">
        <v>12063</v>
      </c>
    </row>
    <row r="12287" spans="1:3" x14ac:dyDescent="0.25">
      <c r="A12287" t="str">
        <f>"0611839435100"</f>
        <v>0611839435100</v>
      </c>
      <c r="B12287" t="str">
        <f>"LL3808"</f>
        <v>LL3808</v>
      </c>
      <c r="C12287" t="s">
        <v>12064</v>
      </c>
    </row>
    <row r="12288" spans="1:3" x14ac:dyDescent="0.25">
      <c r="A12288" t="str">
        <f>"0611839436100"</f>
        <v>0611839436100</v>
      </c>
      <c r="B12288" t="str">
        <f>"LL8240"</f>
        <v>LL8240</v>
      </c>
      <c r="C12288" t="s">
        <v>12065</v>
      </c>
    </row>
    <row r="12289" spans="1:3" x14ac:dyDescent="0.25">
      <c r="A12289" t="str">
        <f>"0611839437100"</f>
        <v>0611839437100</v>
      </c>
      <c r="B12289" t="str">
        <f>"LL8057"</f>
        <v>LL8057</v>
      </c>
      <c r="C12289" t="s">
        <v>12066</v>
      </c>
    </row>
    <row r="12290" spans="1:3" x14ac:dyDescent="0.25">
      <c r="A12290" t="str">
        <f>"0611839438100"</f>
        <v>0611839438100</v>
      </c>
      <c r="B12290" t="str">
        <f>"LL3788"</f>
        <v>LL3788</v>
      </c>
      <c r="C12290" t="s">
        <v>12067</v>
      </c>
    </row>
    <row r="12291" spans="1:3" x14ac:dyDescent="0.25">
      <c r="A12291" t="str">
        <f>"0611833595100"</f>
        <v>0611833595100</v>
      </c>
      <c r="B12291" t="str">
        <f>"LL3806"</f>
        <v>LL3806</v>
      </c>
      <c r="C12291" t="s">
        <v>12068</v>
      </c>
    </row>
    <row r="12292" spans="1:3" x14ac:dyDescent="0.25">
      <c r="A12292" t="str">
        <f>"0611839439100"</f>
        <v>0611839439100</v>
      </c>
      <c r="B12292" t="str">
        <f>"LL3798"</f>
        <v>LL3798</v>
      </c>
      <c r="C12292" t="s">
        <v>12069</v>
      </c>
    </row>
    <row r="12293" spans="1:3" x14ac:dyDescent="0.25">
      <c r="A12293" t="str">
        <f>"0611839440100"</f>
        <v>0611839440100</v>
      </c>
      <c r="B12293" t="str">
        <f>"LL8238"</f>
        <v>LL8238</v>
      </c>
      <c r="C12293" t="s">
        <v>12070</v>
      </c>
    </row>
    <row r="12294" spans="1:3" x14ac:dyDescent="0.25">
      <c r="A12294" t="str">
        <f>"0611839441100"</f>
        <v>0611839441100</v>
      </c>
      <c r="B12294" t="str">
        <f>"LL8340"</f>
        <v>LL8340</v>
      </c>
      <c r="C12294" t="s">
        <v>12071</v>
      </c>
    </row>
    <row r="12295" spans="1:3" x14ac:dyDescent="0.25">
      <c r="A12295" t="str">
        <f>"0611839442100"</f>
        <v>0611839442100</v>
      </c>
      <c r="B12295" t="str">
        <f>"LL3773"</f>
        <v>LL3773</v>
      </c>
      <c r="C12295" t="s">
        <v>12072</v>
      </c>
    </row>
    <row r="12296" spans="1:3" x14ac:dyDescent="0.25">
      <c r="A12296" t="str">
        <f>"0611839443100"</f>
        <v>0611839443100</v>
      </c>
      <c r="B12296" t="str">
        <f>"LL3809"</f>
        <v>LL3809</v>
      </c>
      <c r="C12296" t="s">
        <v>12073</v>
      </c>
    </row>
    <row r="12297" spans="1:3" x14ac:dyDescent="0.25">
      <c r="A12297" t="str">
        <f>"0611839444100"</f>
        <v>0611839444100</v>
      </c>
      <c r="B12297" t="str">
        <f>"LL3778"</f>
        <v>LL3778</v>
      </c>
      <c r="C12297" t="s">
        <v>12074</v>
      </c>
    </row>
    <row r="12298" spans="1:3" x14ac:dyDescent="0.25">
      <c r="A12298" t="str">
        <f>"0611833599100"</f>
        <v>0611833599100</v>
      </c>
      <c r="B12298" t="str">
        <f>"LL3757"</f>
        <v>LL3757</v>
      </c>
      <c r="C12298" t="s">
        <v>12075</v>
      </c>
    </row>
    <row r="12299" spans="1:3" x14ac:dyDescent="0.25">
      <c r="A12299" t="str">
        <f>"0611839445100"</f>
        <v>0611839445100</v>
      </c>
      <c r="B12299" t="str">
        <f>"LL3759"</f>
        <v>LL3759</v>
      </c>
      <c r="C12299" t="s">
        <v>12076</v>
      </c>
    </row>
    <row r="12300" spans="1:3" x14ac:dyDescent="0.25">
      <c r="A12300" t="str">
        <f>"0611884148100"</f>
        <v>0611884148100</v>
      </c>
      <c r="B12300" t="str">
        <f>"LL8344"</f>
        <v>LL8344</v>
      </c>
      <c r="C12300" t="s">
        <v>3525</v>
      </c>
    </row>
    <row r="12301" spans="1:3" x14ac:dyDescent="0.25">
      <c r="A12301" t="str">
        <f>"0611839446100"</f>
        <v>0611839446100</v>
      </c>
      <c r="B12301" t="str">
        <f>"LL3804"</f>
        <v>LL3804</v>
      </c>
      <c r="C12301" t="s">
        <v>12077</v>
      </c>
    </row>
    <row r="12302" spans="1:3" x14ac:dyDescent="0.25">
      <c r="A12302" t="str">
        <f>"0611839447100"</f>
        <v>0611839447100</v>
      </c>
      <c r="B12302" t="str">
        <f>"LL3811"</f>
        <v>LL3811</v>
      </c>
      <c r="C12302" t="s">
        <v>12078</v>
      </c>
    </row>
    <row r="12303" spans="1:3" x14ac:dyDescent="0.25">
      <c r="A12303" t="str">
        <f>"0611839448100"</f>
        <v>0611839448100</v>
      </c>
      <c r="B12303" t="str">
        <f>"LL8241"</f>
        <v>LL8241</v>
      </c>
      <c r="C12303" t="s">
        <v>12079</v>
      </c>
    </row>
    <row r="12304" spans="1:3" x14ac:dyDescent="0.25">
      <c r="A12304" t="str">
        <f>"0611839449100"</f>
        <v>0611839449100</v>
      </c>
      <c r="B12304" t="str">
        <f>"LL4077"</f>
        <v>LL4077</v>
      </c>
      <c r="C12304" t="s">
        <v>12080</v>
      </c>
    </row>
    <row r="12305" spans="1:3" x14ac:dyDescent="0.25">
      <c r="A12305" t="str">
        <f>"0611833601100"</f>
        <v>0611833601100</v>
      </c>
      <c r="B12305" t="str">
        <f>"LL3816"</f>
        <v>LL3816</v>
      </c>
      <c r="C12305" t="s">
        <v>12081</v>
      </c>
    </row>
    <row r="12306" spans="1:3" x14ac:dyDescent="0.25">
      <c r="A12306" t="str">
        <f>"0611833605200"</f>
        <v>0611833605200</v>
      </c>
      <c r="B12306" t="str">
        <f>"KY3781"</f>
        <v>KY3781</v>
      </c>
      <c r="C12306" t="s">
        <v>12082</v>
      </c>
    </row>
    <row r="12307" spans="1:3" x14ac:dyDescent="0.25">
      <c r="A12307" t="str">
        <f>"0611833606100"</f>
        <v>0611833606100</v>
      </c>
      <c r="B12307" t="str">
        <f>"LL3785"</f>
        <v>LL3785</v>
      </c>
      <c r="C12307" t="s">
        <v>12083</v>
      </c>
    </row>
    <row r="12308" spans="1:3" x14ac:dyDescent="0.25">
      <c r="A12308" t="str">
        <f>"0611833607100"</f>
        <v>0611833607100</v>
      </c>
      <c r="B12308" t="str">
        <f>"LL3815"</f>
        <v>LL3815</v>
      </c>
      <c r="C12308" t="s">
        <v>12084</v>
      </c>
    </row>
    <row r="12309" spans="1:3" x14ac:dyDescent="0.25">
      <c r="A12309" t="str">
        <f>"0611833608200"</f>
        <v>0611833608200</v>
      </c>
      <c r="B12309" t="str">
        <f>"KY3815"</f>
        <v>KY3815</v>
      </c>
      <c r="C12309" t="s">
        <v>12085</v>
      </c>
    </row>
    <row r="12310" spans="1:3" x14ac:dyDescent="0.25">
      <c r="A12310" t="str">
        <f>"0611833609100"</f>
        <v>0611833609100</v>
      </c>
      <c r="B12310" t="str">
        <f>"LL3817"</f>
        <v>LL3817</v>
      </c>
      <c r="C12310" t="s">
        <v>12086</v>
      </c>
    </row>
    <row r="12311" spans="1:3" x14ac:dyDescent="0.25">
      <c r="A12311" t="str">
        <f>"0611833610200"</f>
        <v>0611833610200</v>
      </c>
      <c r="B12311" t="str">
        <f>"KY3817"</f>
        <v>KY3817</v>
      </c>
      <c r="C12311" t="s">
        <v>12087</v>
      </c>
    </row>
    <row r="12312" spans="1:3" x14ac:dyDescent="0.25">
      <c r="A12312" t="str">
        <f>"0611833611100"</f>
        <v>0611833611100</v>
      </c>
      <c r="B12312" t="str">
        <f>"LL3800"</f>
        <v>LL3800</v>
      </c>
      <c r="C12312" t="s">
        <v>12088</v>
      </c>
    </row>
    <row r="12313" spans="1:3" x14ac:dyDescent="0.25">
      <c r="A12313" t="str">
        <f>"0611833612100"</f>
        <v>0611833612100</v>
      </c>
      <c r="B12313" t="str">
        <f>"LL0135"</f>
        <v>LL0135</v>
      </c>
      <c r="C12313" t="s">
        <v>12089</v>
      </c>
    </row>
    <row r="12314" spans="1:3" x14ac:dyDescent="0.25">
      <c r="A12314" t="str">
        <f>"0611833613100"</f>
        <v>0611833613100</v>
      </c>
      <c r="B12314" t="str">
        <f>"LL3813"</f>
        <v>LL3813</v>
      </c>
      <c r="C12314" t="s">
        <v>12090</v>
      </c>
    </row>
    <row r="12315" spans="1:3" x14ac:dyDescent="0.25">
      <c r="A12315" t="str">
        <f>"0611833614100"</f>
        <v>0611833614100</v>
      </c>
      <c r="B12315" t="str">
        <f>"LL3828"</f>
        <v>LL3828</v>
      </c>
      <c r="C12315" t="s">
        <v>12091</v>
      </c>
    </row>
    <row r="12316" spans="1:3" x14ac:dyDescent="0.25">
      <c r="A12316" t="str">
        <f>"0611839450100"</f>
        <v>0611839450100</v>
      </c>
      <c r="B12316" t="str">
        <f>"LH7905"</f>
        <v>LH7905</v>
      </c>
      <c r="C12316" t="s">
        <v>12092</v>
      </c>
    </row>
    <row r="12317" spans="1:3" x14ac:dyDescent="0.25">
      <c r="A12317" t="str">
        <f>"0611839451025"</f>
        <v>0611839451025</v>
      </c>
      <c r="B12317" t="str">
        <f>"MC0694"</f>
        <v>MC0694</v>
      </c>
      <c r="C12317" t="s">
        <v>12093</v>
      </c>
    </row>
    <row r="12318" spans="1:3" x14ac:dyDescent="0.25">
      <c r="A12318" t="str">
        <f>"0611906965025"</f>
        <v>0611906965025</v>
      </c>
      <c r="B12318" t="str">
        <f>"MC4571"</f>
        <v>MC4571</v>
      </c>
      <c r="C12318" t="s">
        <v>12094</v>
      </c>
    </row>
    <row r="12319" spans="1:3" x14ac:dyDescent="0.25">
      <c r="A12319" t="str">
        <f>"0611839452025"</f>
        <v>0611839452025</v>
      </c>
      <c r="B12319" t="str">
        <f>"MC3075"</f>
        <v>MC3075</v>
      </c>
      <c r="C12319" t="s">
        <v>12095</v>
      </c>
    </row>
    <row r="12320" spans="1:3" x14ac:dyDescent="0.25">
      <c r="A12320" t="str">
        <f>"0611839453025"</f>
        <v>0611839453025</v>
      </c>
      <c r="B12320" t="str">
        <f>"MC0695"</f>
        <v>MC0695</v>
      </c>
      <c r="C12320" t="s">
        <v>12096</v>
      </c>
    </row>
    <row r="12321" spans="1:3" x14ac:dyDescent="0.25">
      <c r="A12321" t="str">
        <f>"0611839454025"</f>
        <v>0611839454025</v>
      </c>
      <c r="B12321" t="str">
        <f>"MC2584"</f>
        <v>MC2584</v>
      </c>
      <c r="C12321" t="s">
        <v>12097</v>
      </c>
    </row>
    <row r="12322" spans="1:3" x14ac:dyDescent="0.25">
      <c r="A12322" t="str">
        <f>"0611839455100"</f>
        <v>0611839455100</v>
      </c>
      <c r="B12322" t="str">
        <f>"LC9320"</f>
        <v>LC9320</v>
      </c>
      <c r="C12322" t="s">
        <v>12098</v>
      </c>
    </row>
    <row r="12323" spans="1:3" x14ac:dyDescent="0.25">
      <c r="A12323" t="str">
        <f>"0611884473025"</f>
        <v>0611884473025</v>
      </c>
      <c r="B12323" t="str">
        <f>"MQ0850"</f>
        <v>MQ0850</v>
      </c>
      <c r="C12323" t="s">
        <v>12099</v>
      </c>
    </row>
    <row r="12324" spans="1:3" x14ac:dyDescent="0.25">
      <c r="A12324" t="str">
        <f>"0611864105100"</f>
        <v>0611864105100</v>
      </c>
      <c r="B12324" t="str">
        <f>"CN5398"</f>
        <v>CN5398</v>
      </c>
      <c r="C12324" t="s">
        <v>12100</v>
      </c>
    </row>
    <row r="12325" spans="1:3" x14ac:dyDescent="0.25">
      <c r="A12325" t="str">
        <f>"0611839458025"</f>
        <v>0611839458025</v>
      </c>
      <c r="B12325" t="str">
        <f>"MC0693"</f>
        <v>MC0693</v>
      </c>
      <c r="C12325" t="s">
        <v>12101</v>
      </c>
    </row>
    <row r="12326" spans="1:3" x14ac:dyDescent="0.25">
      <c r="A12326" t="str">
        <f>"0611906966100"</f>
        <v>0611906966100</v>
      </c>
      <c r="B12326" t="str">
        <f>"LK7275"</f>
        <v>LK7275</v>
      </c>
      <c r="C12326" t="s">
        <v>12102</v>
      </c>
    </row>
    <row r="12327" spans="1:3" x14ac:dyDescent="0.25">
      <c r="A12327" t="str">
        <f>"0611839459100"</f>
        <v>0611839459100</v>
      </c>
      <c r="B12327" t="str">
        <f>"LC9325"</f>
        <v>LC9325</v>
      </c>
      <c r="C12327" t="s">
        <v>12103</v>
      </c>
    </row>
    <row r="12328" spans="1:3" x14ac:dyDescent="0.25">
      <c r="A12328" t="str">
        <f>"0611862559100"</f>
        <v>0611862559100</v>
      </c>
      <c r="B12328" t="str">
        <f>"CN5400"</f>
        <v>CN5400</v>
      </c>
      <c r="C12328" t="s">
        <v>12104</v>
      </c>
    </row>
    <row r="12329" spans="1:3" x14ac:dyDescent="0.25">
      <c r="A12329" t="str">
        <f>"0611839460025"</f>
        <v>0611839460025</v>
      </c>
      <c r="B12329" t="str">
        <f>"MC2230"</f>
        <v>MC2230</v>
      </c>
      <c r="C12329" t="s">
        <v>12105</v>
      </c>
    </row>
    <row r="12330" spans="1:3" x14ac:dyDescent="0.25">
      <c r="A12330" t="str">
        <f>"0611884474025"</f>
        <v>0611884474025</v>
      </c>
      <c r="B12330" t="str">
        <f>"MC4506"</f>
        <v>MC4506</v>
      </c>
      <c r="C12330" t="s">
        <v>12106</v>
      </c>
    </row>
    <row r="12331" spans="1:3" x14ac:dyDescent="0.25">
      <c r="A12331" t="str">
        <f>"0611515687100"</f>
        <v>0611515687100</v>
      </c>
      <c r="B12331" t="str">
        <f>""</f>
        <v/>
      </c>
      <c r="C12331" t="s">
        <v>12107</v>
      </c>
    </row>
    <row r="12332" spans="1:3" x14ac:dyDescent="0.25">
      <c r="A12332" t="str">
        <f>"0611834822025"</f>
        <v>0611834822025</v>
      </c>
      <c r="B12332" t="str">
        <f>"MC2978"</f>
        <v>MC2978</v>
      </c>
      <c r="C12332" t="s">
        <v>12108</v>
      </c>
    </row>
    <row r="12333" spans="1:3" x14ac:dyDescent="0.25">
      <c r="A12333" t="str">
        <f>"0611834823100"</f>
        <v>0611834823100</v>
      </c>
      <c r="B12333" t="str">
        <f>"LK1498"</f>
        <v>LK1498</v>
      </c>
      <c r="C12333" t="s">
        <v>12109</v>
      </c>
    </row>
    <row r="12334" spans="1:3" x14ac:dyDescent="0.25">
      <c r="A12334" t="str">
        <f>"0611839461025"</f>
        <v>0611839461025</v>
      </c>
      <c r="B12334" t="str">
        <f>"MC1938"</f>
        <v>MC1938</v>
      </c>
      <c r="C12334" t="s">
        <v>12110</v>
      </c>
    </row>
    <row r="12335" spans="1:3" x14ac:dyDescent="0.25">
      <c r="A12335" t="str">
        <f>"0611839462100"</f>
        <v>0611839462100</v>
      </c>
      <c r="B12335" t="str">
        <f>"LH6007"</f>
        <v>LH6007</v>
      </c>
      <c r="C12335" t="s">
        <v>12111</v>
      </c>
    </row>
    <row r="12336" spans="1:3" x14ac:dyDescent="0.25">
      <c r="A12336" t="str">
        <f>"0611836733100"</f>
        <v>0611836733100</v>
      </c>
      <c r="B12336" t="str">
        <f>"LK0409"</f>
        <v>LK0409</v>
      </c>
      <c r="C12336" t="s">
        <v>12112</v>
      </c>
    </row>
    <row r="12337" spans="1:3" x14ac:dyDescent="0.25">
      <c r="A12337" t="str">
        <f>"0611836714100"</f>
        <v>0611836714100</v>
      </c>
      <c r="B12337" t="str">
        <f>"LB8965"</f>
        <v>LB8965</v>
      </c>
      <c r="C12337" t="s">
        <v>12113</v>
      </c>
    </row>
    <row r="12338" spans="1:3" x14ac:dyDescent="0.25">
      <c r="A12338" t="str">
        <f>"0611836715100"</f>
        <v>0611836715100</v>
      </c>
      <c r="B12338" t="str">
        <f>"LK5934"</f>
        <v>LK5934</v>
      </c>
      <c r="C12338" t="s">
        <v>12114</v>
      </c>
    </row>
    <row r="12339" spans="1:3" x14ac:dyDescent="0.25">
      <c r="A12339" t="str">
        <f>"0611836716100"</f>
        <v>0611836716100</v>
      </c>
      <c r="B12339" t="str">
        <f>"LK0398"</f>
        <v>LK0398</v>
      </c>
      <c r="C12339" t="s">
        <v>12115</v>
      </c>
    </row>
    <row r="12340" spans="1:3" x14ac:dyDescent="0.25">
      <c r="A12340" t="str">
        <f>"0611836717100"</f>
        <v>0611836717100</v>
      </c>
      <c r="B12340" t="str">
        <f>"LB8987"</f>
        <v>LB8987</v>
      </c>
      <c r="C12340" t="s">
        <v>12116</v>
      </c>
    </row>
    <row r="12341" spans="1:3" x14ac:dyDescent="0.25">
      <c r="A12341" t="str">
        <f>"0611836718100"</f>
        <v>0611836718100</v>
      </c>
      <c r="B12341" t="str">
        <f>"LB8976"</f>
        <v>LB8976</v>
      </c>
      <c r="C12341" t="s">
        <v>12117</v>
      </c>
    </row>
    <row r="12342" spans="1:3" x14ac:dyDescent="0.25">
      <c r="A12342" t="str">
        <f>"0611836719100"</f>
        <v>0611836719100</v>
      </c>
      <c r="B12342" t="str">
        <f>"LB8964"</f>
        <v>LB8964</v>
      </c>
      <c r="C12342" t="s">
        <v>12118</v>
      </c>
    </row>
    <row r="12343" spans="1:3" x14ac:dyDescent="0.25">
      <c r="A12343" t="str">
        <f>"0611836720100"</f>
        <v>0611836720100</v>
      </c>
      <c r="B12343" t="str">
        <f>"LK0399"</f>
        <v>LK0399</v>
      </c>
      <c r="C12343" t="s">
        <v>12119</v>
      </c>
    </row>
    <row r="12344" spans="1:3" x14ac:dyDescent="0.25">
      <c r="A12344" t="str">
        <f>"0611836721100"</f>
        <v>0611836721100</v>
      </c>
      <c r="B12344" t="str">
        <f>"LK0400"</f>
        <v>LK0400</v>
      </c>
      <c r="C12344" t="s">
        <v>12120</v>
      </c>
    </row>
    <row r="12345" spans="1:3" x14ac:dyDescent="0.25">
      <c r="A12345" t="str">
        <f>"0611836722100"</f>
        <v>0611836722100</v>
      </c>
      <c r="B12345" t="str">
        <f>"LK3508"</f>
        <v>LK3508</v>
      </c>
      <c r="C12345" t="s">
        <v>12121</v>
      </c>
    </row>
    <row r="12346" spans="1:3" x14ac:dyDescent="0.25">
      <c r="A12346" t="str">
        <f>"0611836723100"</f>
        <v>0611836723100</v>
      </c>
      <c r="B12346" t="str">
        <f>"LK2707"</f>
        <v>LK2707</v>
      </c>
      <c r="C12346" t="s">
        <v>12122</v>
      </c>
    </row>
    <row r="12347" spans="1:3" x14ac:dyDescent="0.25">
      <c r="A12347" t="str">
        <f>"0611836724100"</f>
        <v>0611836724100</v>
      </c>
      <c r="B12347" t="str">
        <f>"LK3509"</f>
        <v>LK3509</v>
      </c>
      <c r="C12347" t="s">
        <v>12123</v>
      </c>
    </row>
    <row r="12348" spans="1:3" x14ac:dyDescent="0.25">
      <c r="A12348" t="str">
        <f>"0611836725100"</f>
        <v>0611836725100</v>
      </c>
      <c r="B12348" t="str">
        <f>"LK3510"</f>
        <v>LK3510</v>
      </c>
      <c r="C12348" t="s">
        <v>12124</v>
      </c>
    </row>
    <row r="12349" spans="1:3" x14ac:dyDescent="0.25">
      <c r="A12349" t="str">
        <f>"0611836726100"</f>
        <v>0611836726100</v>
      </c>
      <c r="B12349" t="str">
        <f>"LK3512"</f>
        <v>LK3512</v>
      </c>
      <c r="C12349" t="s">
        <v>12125</v>
      </c>
    </row>
    <row r="12350" spans="1:3" x14ac:dyDescent="0.25">
      <c r="A12350" t="str">
        <f>"0611836728100"</f>
        <v>0611836728100</v>
      </c>
      <c r="B12350" t="str">
        <f>"LB8972"</f>
        <v>LB8972</v>
      </c>
      <c r="C12350" t="s">
        <v>12126</v>
      </c>
    </row>
    <row r="12351" spans="1:3" x14ac:dyDescent="0.25">
      <c r="A12351" t="str">
        <f>"0611836730100"</f>
        <v>0611836730100</v>
      </c>
      <c r="B12351" t="str">
        <f>"LB8975"</f>
        <v>LB8975</v>
      </c>
      <c r="C12351" t="s">
        <v>12127</v>
      </c>
    </row>
    <row r="12352" spans="1:3" x14ac:dyDescent="0.25">
      <c r="A12352" t="str">
        <f>"0611836731100"</f>
        <v>0611836731100</v>
      </c>
      <c r="B12352" t="str">
        <f>"LB8977"</f>
        <v>LB8977</v>
      </c>
      <c r="C12352" t="s">
        <v>12128</v>
      </c>
    </row>
    <row r="12353" spans="1:3" x14ac:dyDescent="0.25">
      <c r="A12353" t="str">
        <f>"0611836732100"</f>
        <v>0611836732100</v>
      </c>
      <c r="B12353" t="str">
        <f>"LK6322"</f>
        <v>LK6322</v>
      </c>
      <c r="C12353" t="s">
        <v>12129</v>
      </c>
    </row>
    <row r="12354" spans="1:3" x14ac:dyDescent="0.25">
      <c r="A12354" t="str">
        <f>"0611836734100"</f>
        <v>0611836734100</v>
      </c>
      <c r="B12354" t="str">
        <f>"LK0533"</f>
        <v>LK0533</v>
      </c>
      <c r="C12354" t="s">
        <v>12130</v>
      </c>
    </row>
    <row r="12355" spans="1:3" x14ac:dyDescent="0.25">
      <c r="A12355" t="str">
        <f>"0611836735100"</f>
        <v>0611836735100</v>
      </c>
      <c r="B12355" t="str">
        <f>"LB8944"</f>
        <v>LB8944</v>
      </c>
      <c r="C12355" t="s">
        <v>12131</v>
      </c>
    </row>
    <row r="12356" spans="1:3" x14ac:dyDescent="0.25">
      <c r="A12356" t="str">
        <f>"0611836736100"</f>
        <v>0611836736100</v>
      </c>
      <c r="B12356" t="str">
        <f>"LB8962"</f>
        <v>LB8962</v>
      </c>
      <c r="C12356" t="s">
        <v>12132</v>
      </c>
    </row>
    <row r="12357" spans="1:3" x14ac:dyDescent="0.25">
      <c r="A12357" t="str">
        <f>"0611836737100"</f>
        <v>0611836737100</v>
      </c>
      <c r="B12357" t="str">
        <f>"LB8979"</f>
        <v>LB8979</v>
      </c>
      <c r="C12357" t="s">
        <v>12133</v>
      </c>
    </row>
    <row r="12358" spans="1:3" x14ac:dyDescent="0.25">
      <c r="A12358" t="str">
        <f>"0611836738100"</f>
        <v>0611836738100</v>
      </c>
      <c r="B12358" t="str">
        <f>"LB8980"</f>
        <v>LB8980</v>
      </c>
      <c r="C12358" t="s">
        <v>12134</v>
      </c>
    </row>
    <row r="12359" spans="1:3" x14ac:dyDescent="0.25">
      <c r="A12359" t="str">
        <f>"0611836739100"</f>
        <v>0611836739100</v>
      </c>
      <c r="B12359" t="str">
        <f>"LB8981"</f>
        <v>LB8981</v>
      </c>
      <c r="C12359" t="s">
        <v>12135</v>
      </c>
    </row>
    <row r="12360" spans="1:3" x14ac:dyDescent="0.25">
      <c r="A12360" t="str">
        <f>"0611836740100"</f>
        <v>0611836740100</v>
      </c>
      <c r="B12360" t="str">
        <f>"LB8946"</f>
        <v>LB8946</v>
      </c>
      <c r="C12360" t="s">
        <v>12136</v>
      </c>
    </row>
    <row r="12361" spans="1:3" x14ac:dyDescent="0.25">
      <c r="A12361" t="str">
        <f>"0611836741100"</f>
        <v>0611836741100</v>
      </c>
      <c r="B12361" t="str">
        <f>"LB8983"</f>
        <v>LB8983</v>
      </c>
      <c r="C12361" t="s">
        <v>12137</v>
      </c>
    </row>
    <row r="12362" spans="1:3" x14ac:dyDescent="0.25">
      <c r="A12362" t="str">
        <f>"0611836742100"</f>
        <v>0611836742100</v>
      </c>
      <c r="B12362" t="str">
        <f>"LB8984"</f>
        <v>LB8984</v>
      </c>
      <c r="C12362" t="s">
        <v>12138</v>
      </c>
    </row>
    <row r="12363" spans="1:3" x14ac:dyDescent="0.25">
      <c r="A12363" t="str">
        <f>"0611836743100"</f>
        <v>0611836743100</v>
      </c>
      <c r="B12363" t="str">
        <f>"LB8947"</f>
        <v>LB8947</v>
      </c>
      <c r="C12363" t="s">
        <v>12139</v>
      </c>
    </row>
    <row r="12364" spans="1:3" x14ac:dyDescent="0.25">
      <c r="A12364" t="str">
        <f>"0611839464025"</f>
        <v>0611839464025</v>
      </c>
      <c r="B12364" t="str">
        <f>"MC0699"</f>
        <v>MC0699</v>
      </c>
      <c r="C12364" t="s">
        <v>12140</v>
      </c>
    </row>
    <row r="12365" spans="1:3" x14ac:dyDescent="0.25">
      <c r="A12365" t="str">
        <f>"0611839465025"</f>
        <v>0611839465025</v>
      </c>
      <c r="B12365" t="str">
        <f>"MC3141"</f>
        <v>MC3141</v>
      </c>
      <c r="C12365" t="s">
        <v>12141</v>
      </c>
    </row>
    <row r="12366" spans="1:3" x14ac:dyDescent="0.25">
      <c r="A12366" t="str">
        <f>"0611839466100"</f>
        <v>0611839466100</v>
      </c>
      <c r="B12366" t="str">
        <f>"LG2592"</f>
        <v>LG2592</v>
      </c>
      <c r="C12366" t="s">
        <v>12142</v>
      </c>
    </row>
    <row r="12367" spans="1:3" x14ac:dyDescent="0.25">
      <c r="A12367" t="str">
        <f>"0611839467100"</f>
        <v>0611839467100</v>
      </c>
      <c r="B12367" t="str">
        <f>"LL4855"</f>
        <v>LL4855</v>
      </c>
      <c r="C12367" t="s">
        <v>12143</v>
      </c>
    </row>
    <row r="12368" spans="1:3" x14ac:dyDescent="0.25">
      <c r="A12368" t="str">
        <f>"0611839470100"</f>
        <v>0611839470100</v>
      </c>
      <c r="B12368" t="str">
        <f>"LK5938"</f>
        <v>LK5938</v>
      </c>
      <c r="C12368" t="s">
        <v>12144</v>
      </c>
    </row>
    <row r="12369" spans="1:3" x14ac:dyDescent="0.25">
      <c r="A12369" t="str">
        <f>"0611839471100"</f>
        <v>0611839471100</v>
      </c>
      <c r="B12369" t="str">
        <f>"LK6215"</f>
        <v>LK6215</v>
      </c>
      <c r="C12369" t="s">
        <v>12145</v>
      </c>
    </row>
    <row r="12370" spans="1:3" x14ac:dyDescent="0.25">
      <c r="A12370" t="str">
        <f>"0611839472025"</f>
        <v>0611839472025</v>
      </c>
      <c r="B12370" t="str">
        <f>"MC2272"</f>
        <v>MC2272</v>
      </c>
      <c r="C12370" t="s">
        <v>13946</v>
      </c>
    </row>
    <row r="12371" spans="1:3" x14ac:dyDescent="0.25">
      <c r="A12371" t="str">
        <f>"0611906967100"</f>
        <v>0611906967100</v>
      </c>
      <c r="B12371" t="str">
        <f>"MB7276"</f>
        <v>MB7276</v>
      </c>
      <c r="C12371" t="s">
        <v>12146</v>
      </c>
    </row>
    <row r="12372" spans="1:3" x14ac:dyDescent="0.25">
      <c r="A12372" t="str">
        <f>"0611839474100"</f>
        <v>0611839474100</v>
      </c>
      <c r="B12372" t="str">
        <f>"LK2582"</f>
        <v>LK2582</v>
      </c>
      <c r="C12372" t="s">
        <v>12147</v>
      </c>
    </row>
    <row r="12373" spans="1:3" x14ac:dyDescent="0.25">
      <c r="A12373" t="str">
        <f>"0611839475100"</f>
        <v>0611839475100</v>
      </c>
      <c r="B12373" t="str">
        <f>"MB7276"</f>
        <v>MB7276</v>
      </c>
      <c r="C12373" t="s">
        <v>13947</v>
      </c>
    </row>
    <row r="12374" spans="1:3" x14ac:dyDescent="0.25">
      <c r="A12374" t="str">
        <f>"0611839476100"</f>
        <v>0611839476100</v>
      </c>
      <c r="B12374" t="str">
        <f>"LG7276"</f>
        <v>LG7276</v>
      </c>
      <c r="C12374" t="s">
        <v>12148</v>
      </c>
    </row>
    <row r="12375" spans="1:3" x14ac:dyDescent="0.25">
      <c r="A12375" t="str">
        <f>"0611839477100"</f>
        <v>0611839477100</v>
      </c>
      <c r="B12375" t="str">
        <f>"LK0411"</f>
        <v>LK0411</v>
      </c>
      <c r="C12375" t="s">
        <v>12149</v>
      </c>
    </row>
    <row r="12376" spans="1:3" x14ac:dyDescent="0.25">
      <c r="A12376" t="str">
        <f>"0611839478100"</f>
        <v>0611839478100</v>
      </c>
      <c r="B12376" t="str">
        <f>"LH8050"</f>
        <v>LH8050</v>
      </c>
      <c r="C12376" t="s">
        <v>12150</v>
      </c>
    </row>
    <row r="12377" spans="1:3" x14ac:dyDescent="0.25">
      <c r="A12377" t="str">
        <f>"0611864106050"</f>
        <v>0611864106050</v>
      </c>
      <c r="B12377" t="str">
        <f>"CR3575"</f>
        <v>CR3575</v>
      </c>
      <c r="C12377" t="s">
        <v>12151</v>
      </c>
    </row>
    <row r="12378" spans="1:3" x14ac:dyDescent="0.25">
      <c r="A12378" t="str">
        <f>"0611839479100"</f>
        <v>0611839479100</v>
      </c>
      <c r="B12378" t="str">
        <f>"LK6298"</f>
        <v>LK6298</v>
      </c>
      <c r="C12378" t="s">
        <v>12153</v>
      </c>
    </row>
    <row r="12379" spans="1:3" x14ac:dyDescent="0.25">
      <c r="A12379" t="str">
        <f>"0611839480025"</f>
        <v>0611839480025</v>
      </c>
      <c r="B12379" t="str">
        <f>"MC3865"</f>
        <v>MC3865</v>
      </c>
      <c r="C12379" t="s">
        <v>12154</v>
      </c>
    </row>
    <row r="12380" spans="1:3" x14ac:dyDescent="0.25">
      <c r="A12380" t="str">
        <f>"0611857112100"</f>
        <v>0611857112100</v>
      </c>
      <c r="B12380" t="str">
        <f>"LF9100"</f>
        <v>LF9100</v>
      </c>
      <c r="C12380" t="s">
        <v>12155</v>
      </c>
    </row>
    <row r="12381" spans="1:3" x14ac:dyDescent="0.25">
      <c r="A12381" t="str">
        <f>"0611839086100"</f>
        <v>0611839086100</v>
      </c>
      <c r="B12381" t="str">
        <f>"LC9050"</f>
        <v>LC9050</v>
      </c>
      <c r="C12381" t="s">
        <v>12157</v>
      </c>
    </row>
    <row r="12382" spans="1:3" x14ac:dyDescent="0.25">
      <c r="A12382" t="str">
        <f>"0611835699025"</f>
        <v>0611835699025</v>
      </c>
      <c r="B12382" t="str">
        <f>"MC3620"</f>
        <v>MC3620</v>
      </c>
      <c r="C12382" t="s">
        <v>12160</v>
      </c>
    </row>
    <row r="12383" spans="1:3" x14ac:dyDescent="0.25">
      <c r="A12383" t="str">
        <f>"0611857115025"</f>
        <v>0611857115025</v>
      </c>
      <c r="B12383" t="str">
        <f>"MC4427"</f>
        <v>MC4427</v>
      </c>
      <c r="C12383" t="s">
        <v>12161</v>
      </c>
    </row>
    <row r="12384" spans="1:3" x14ac:dyDescent="0.25">
      <c r="A12384" t="str">
        <f>"0611835700025"</f>
        <v>0611835700025</v>
      </c>
      <c r="B12384" t="str">
        <f>"MC4002"</f>
        <v>MC4002</v>
      </c>
      <c r="C12384" t="s">
        <v>12162</v>
      </c>
    </row>
    <row r="12385" spans="1:3" x14ac:dyDescent="0.25">
      <c r="A12385" t="str">
        <f>"0611835709025"</f>
        <v>0611835709025</v>
      </c>
      <c r="B12385" t="str">
        <f>"MC4394"</f>
        <v>MC4394</v>
      </c>
      <c r="C12385" t="s">
        <v>12163</v>
      </c>
    </row>
    <row r="12386" spans="1:3" x14ac:dyDescent="0.25">
      <c r="A12386" t="str">
        <f>"0611835710025"</f>
        <v>0611835710025</v>
      </c>
      <c r="B12386" t="str">
        <f>"MC3622"</f>
        <v>MC3622</v>
      </c>
      <c r="C12386" t="s">
        <v>12164</v>
      </c>
    </row>
    <row r="12387" spans="1:3" x14ac:dyDescent="0.25">
      <c r="A12387" t="str">
        <f>"0611835461025"</f>
        <v>0611835461025</v>
      </c>
      <c r="B12387" t="str">
        <f>"MC3661"</f>
        <v>MC3661</v>
      </c>
      <c r="C12387" t="s">
        <v>12165</v>
      </c>
    </row>
    <row r="12388" spans="1:3" x14ac:dyDescent="0.25">
      <c r="A12388" t="str">
        <f>"0611835701025"</f>
        <v>0611835701025</v>
      </c>
      <c r="B12388" t="str">
        <f>"MC4080"</f>
        <v>MC4080</v>
      </c>
      <c r="C12388" t="s">
        <v>12166</v>
      </c>
    </row>
    <row r="12389" spans="1:3" x14ac:dyDescent="0.25">
      <c r="A12389" t="str">
        <f>"0611835702025"</f>
        <v>0611835702025</v>
      </c>
      <c r="B12389" t="str">
        <f>"MC3654"</f>
        <v>MC3654</v>
      </c>
      <c r="C12389" t="s">
        <v>12167</v>
      </c>
    </row>
    <row r="12390" spans="1:3" x14ac:dyDescent="0.25">
      <c r="A12390" t="str">
        <f>"0611835703025"</f>
        <v>0611835703025</v>
      </c>
      <c r="B12390" t="str">
        <f>"MC4356"</f>
        <v>MC4356</v>
      </c>
      <c r="C12390" t="s">
        <v>12168</v>
      </c>
    </row>
    <row r="12391" spans="1:3" x14ac:dyDescent="0.25">
      <c r="A12391" t="str">
        <f>"0611906968025"</f>
        <v>0611906968025</v>
      </c>
      <c r="B12391" t="str">
        <f>"MC4545"</f>
        <v>MC4545</v>
      </c>
      <c r="C12391" t="s">
        <v>12169</v>
      </c>
    </row>
    <row r="12392" spans="1:3" x14ac:dyDescent="0.25">
      <c r="A12392" t="str">
        <f>"0611857116025"</f>
        <v>0611857116025</v>
      </c>
      <c r="B12392" t="str">
        <f>"MC4429"</f>
        <v>MC4429</v>
      </c>
      <c r="C12392" t="s">
        <v>12170</v>
      </c>
    </row>
    <row r="12393" spans="1:3" x14ac:dyDescent="0.25">
      <c r="A12393" t="str">
        <f>"0611835711025"</f>
        <v>0611835711025</v>
      </c>
      <c r="B12393" t="str">
        <f>"MC3614"</f>
        <v>MC3614</v>
      </c>
      <c r="C12393" t="s">
        <v>12171</v>
      </c>
    </row>
    <row r="12394" spans="1:3" x14ac:dyDescent="0.25">
      <c r="A12394" t="str">
        <f>"0611835712025"</f>
        <v>0611835712025</v>
      </c>
      <c r="B12394" t="str">
        <f>"MC3615"</f>
        <v>MC3615</v>
      </c>
      <c r="C12394" t="s">
        <v>12172</v>
      </c>
    </row>
    <row r="12395" spans="1:3" x14ac:dyDescent="0.25">
      <c r="A12395" t="str">
        <f>"0611835704025"</f>
        <v>0611835704025</v>
      </c>
      <c r="B12395" t="str">
        <f>"MC4003"</f>
        <v>MC4003</v>
      </c>
      <c r="C12395" t="s">
        <v>12173</v>
      </c>
    </row>
    <row r="12396" spans="1:3" x14ac:dyDescent="0.25">
      <c r="A12396" t="str">
        <f>"0611835742025"</f>
        <v>0611835742025</v>
      </c>
      <c r="B12396" t="str">
        <f>"MC3617"</f>
        <v>MC3617</v>
      </c>
      <c r="C12396" t="s">
        <v>12176</v>
      </c>
    </row>
    <row r="12397" spans="1:3" x14ac:dyDescent="0.25">
      <c r="A12397" t="str">
        <f>"0611835705025"</f>
        <v>0611835705025</v>
      </c>
      <c r="B12397" t="str">
        <f>"MC4081"</f>
        <v>MC4081</v>
      </c>
      <c r="C12397" t="s">
        <v>12174</v>
      </c>
    </row>
    <row r="12398" spans="1:3" x14ac:dyDescent="0.25">
      <c r="A12398" t="str">
        <f>"0611835462025"</f>
        <v>0611835462025</v>
      </c>
      <c r="B12398" t="str">
        <f>"MC4339"</f>
        <v>MC4339</v>
      </c>
      <c r="C12398" t="s">
        <v>12175</v>
      </c>
    </row>
    <row r="12399" spans="1:3" x14ac:dyDescent="0.25">
      <c r="A12399" t="str">
        <f>"0611835743025"</f>
        <v>0611835743025</v>
      </c>
      <c r="B12399" t="str">
        <f>"MC3908"</f>
        <v>MC3908</v>
      </c>
      <c r="C12399" t="s">
        <v>12177</v>
      </c>
    </row>
    <row r="12400" spans="1:3" x14ac:dyDescent="0.25">
      <c r="A12400" t="str">
        <f>"0611835706025"</f>
        <v>0611835706025</v>
      </c>
      <c r="B12400" t="str">
        <f>"MC4270"</f>
        <v>MC4270</v>
      </c>
      <c r="C12400" t="s">
        <v>12178</v>
      </c>
    </row>
    <row r="12401" spans="1:3" x14ac:dyDescent="0.25">
      <c r="A12401" t="str">
        <f>"0611835744025"</f>
        <v>0611835744025</v>
      </c>
      <c r="B12401" t="str">
        <f>"MC2077"</f>
        <v>MC2077</v>
      </c>
      <c r="C12401" t="s">
        <v>12179</v>
      </c>
    </row>
    <row r="12402" spans="1:3" x14ac:dyDescent="0.25">
      <c r="A12402" t="str">
        <f>"0611857117025"</f>
        <v>0611857117025</v>
      </c>
      <c r="B12402" t="str">
        <f>"MC4428"</f>
        <v>MC4428</v>
      </c>
      <c r="C12402" t="s">
        <v>12180</v>
      </c>
    </row>
    <row r="12403" spans="1:3" x14ac:dyDescent="0.25">
      <c r="A12403" t="str">
        <f>"0611835745025"</f>
        <v>0611835745025</v>
      </c>
      <c r="B12403" t="str">
        <f>"MC3655"</f>
        <v>MC3655</v>
      </c>
      <c r="C12403" t="s">
        <v>12181</v>
      </c>
    </row>
    <row r="12404" spans="1:3" x14ac:dyDescent="0.25">
      <c r="A12404" t="str">
        <f>"0611884475025"</f>
        <v>0611884475025</v>
      </c>
      <c r="B12404" t="str">
        <f>"MC4517"</f>
        <v>MC4517</v>
      </c>
      <c r="C12404" t="s">
        <v>12182</v>
      </c>
    </row>
    <row r="12405" spans="1:3" x14ac:dyDescent="0.25">
      <c r="A12405" t="str">
        <f>"0611835707025"</f>
        <v>0611835707025</v>
      </c>
      <c r="B12405" t="str">
        <f>"MC4357"</f>
        <v>MC4357</v>
      </c>
      <c r="C12405" t="s">
        <v>12183</v>
      </c>
    </row>
    <row r="12406" spans="1:3" x14ac:dyDescent="0.25">
      <c r="A12406" t="str">
        <f>"0611835463025"</f>
        <v>0611835463025</v>
      </c>
      <c r="B12406" t="str">
        <f>"MC3909"</f>
        <v>MC3909</v>
      </c>
      <c r="C12406" t="s">
        <v>12184</v>
      </c>
    </row>
    <row r="12407" spans="1:3" x14ac:dyDescent="0.25">
      <c r="A12407" t="str">
        <f>"0611835708025"</f>
        <v>0611835708025</v>
      </c>
      <c r="B12407" t="str">
        <f>"MC4082"</f>
        <v>MC4082</v>
      </c>
      <c r="C12407" t="s">
        <v>12185</v>
      </c>
    </row>
    <row r="12408" spans="1:3" x14ac:dyDescent="0.25">
      <c r="A12408" t="str">
        <f>"0611835746025"</f>
        <v>0611835746025</v>
      </c>
      <c r="B12408" t="str">
        <f>"MC3624"</f>
        <v>MC3624</v>
      </c>
      <c r="C12408" t="s">
        <v>12186</v>
      </c>
    </row>
    <row r="12409" spans="1:3" x14ac:dyDescent="0.25">
      <c r="A12409" t="str">
        <f>"0611835536025"</f>
        <v>0611835536025</v>
      </c>
      <c r="B12409" t="str">
        <f>"MC4271"</f>
        <v>MC4271</v>
      </c>
      <c r="C12409" t="s">
        <v>12187</v>
      </c>
    </row>
    <row r="12410" spans="1:3" x14ac:dyDescent="0.25">
      <c r="A12410" t="str">
        <f>"0611835747025"</f>
        <v>0611835747025</v>
      </c>
      <c r="B12410" t="str">
        <f>"MC3612"</f>
        <v>MC3612</v>
      </c>
      <c r="C12410" t="s">
        <v>12188</v>
      </c>
    </row>
    <row r="12411" spans="1:3" x14ac:dyDescent="0.25">
      <c r="A12411" t="str">
        <f>"0611835794025"</f>
        <v>0611835794025</v>
      </c>
      <c r="B12411" t="str">
        <f>"MC4358"</f>
        <v>MC4358</v>
      </c>
      <c r="C12411" t="s">
        <v>12189</v>
      </c>
    </row>
    <row r="12412" spans="1:3" x14ac:dyDescent="0.25">
      <c r="A12412" t="str">
        <f>"0611835753025"</f>
        <v>0611835753025</v>
      </c>
      <c r="B12412" t="str">
        <f>"MC3618"</f>
        <v>MC3618</v>
      </c>
      <c r="C12412" t="s">
        <v>12190</v>
      </c>
    </row>
    <row r="12413" spans="1:3" x14ac:dyDescent="0.25">
      <c r="A12413" t="str">
        <f>"0611835748025"</f>
        <v>0611835748025</v>
      </c>
      <c r="B12413" t="str">
        <f>"MC4273"</f>
        <v>MC4273</v>
      </c>
      <c r="C12413" t="s">
        <v>12191</v>
      </c>
    </row>
    <row r="12414" spans="1:3" x14ac:dyDescent="0.25">
      <c r="A12414" t="str">
        <f>"0611857118025"</f>
        <v>0611857118025</v>
      </c>
      <c r="B12414" t="str">
        <f>"MC4430"</f>
        <v>MC4430</v>
      </c>
      <c r="C12414" t="s">
        <v>12192</v>
      </c>
    </row>
    <row r="12415" spans="1:3" x14ac:dyDescent="0.25">
      <c r="A12415" t="str">
        <f>"0611835749025"</f>
        <v>0611835749025</v>
      </c>
      <c r="B12415" t="str">
        <f>"MC4083"</f>
        <v>MC4083</v>
      </c>
      <c r="C12415" t="s">
        <v>12193</v>
      </c>
    </row>
    <row r="12416" spans="1:3" x14ac:dyDescent="0.25">
      <c r="A12416" t="str">
        <f>"0611857119025"</f>
        <v>0611857119025</v>
      </c>
      <c r="B12416" t="str">
        <f>"MC4431"</f>
        <v>MC4431</v>
      </c>
      <c r="C12416" t="s">
        <v>12194</v>
      </c>
    </row>
    <row r="12417" spans="1:3" x14ac:dyDescent="0.25">
      <c r="A12417" t="str">
        <f>"0611906969025"</f>
        <v>0611906969025</v>
      </c>
      <c r="B12417" t="str">
        <f>"MC4546"</f>
        <v>MC4546</v>
      </c>
      <c r="C12417" t="s">
        <v>12195</v>
      </c>
    </row>
    <row r="12418" spans="1:3" x14ac:dyDescent="0.25">
      <c r="A12418" t="str">
        <f>"0611835754025"</f>
        <v>0611835754025</v>
      </c>
      <c r="B12418" t="str">
        <f>"MC4274"</f>
        <v>MC4274</v>
      </c>
      <c r="C12418" t="s">
        <v>12196</v>
      </c>
    </row>
    <row r="12419" spans="1:3" x14ac:dyDescent="0.25">
      <c r="A12419" t="str">
        <f>"0611835750025"</f>
        <v>0611835750025</v>
      </c>
      <c r="B12419" t="str">
        <f>"MC4275"</f>
        <v>MC4275</v>
      </c>
      <c r="C12419" t="s">
        <v>12197</v>
      </c>
    </row>
    <row r="12420" spans="1:3" x14ac:dyDescent="0.25">
      <c r="A12420" t="str">
        <f>"0611835714025"</f>
        <v>0611835714025</v>
      </c>
      <c r="B12420" t="str">
        <f>"MC3913"</f>
        <v>MC3913</v>
      </c>
      <c r="C12420" t="s">
        <v>12198</v>
      </c>
    </row>
    <row r="12421" spans="1:3" x14ac:dyDescent="0.25">
      <c r="A12421" t="str">
        <f>"0611835795025"</f>
        <v>0611835795025</v>
      </c>
      <c r="B12421" t="str">
        <f>"MC4395"</f>
        <v>MC4395</v>
      </c>
      <c r="C12421" t="s">
        <v>12199</v>
      </c>
    </row>
    <row r="12422" spans="1:3" x14ac:dyDescent="0.25">
      <c r="A12422" t="str">
        <f>"0611835715025"</f>
        <v>0611835715025</v>
      </c>
      <c r="B12422" t="str">
        <f>"MC4006"</f>
        <v>MC4006</v>
      </c>
      <c r="C12422" t="s">
        <v>12200</v>
      </c>
    </row>
    <row r="12423" spans="1:3" x14ac:dyDescent="0.25">
      <c r="A12423" t="str">
        <f>"0611835796025"</f>
        <v>0611835796025</v>
      </c>
      <c r="B12423" t="str">
        <f>"MC3623"</f>
        <v>MC3623</v>
      </c>
      <c r="C12423" t="s">
        <v>12201</v>
      </c>
    </row>
    <row r="12424" spans="1:3" x14ac:dyDescent="0.25">
      <c r="A12424" t="str">
        <f>"0611835751025"</f>
        <v>0611835751025</v>
      </c>
      <c r="B12424" t="str">
        <f>"MC3626"</f>
        <v>MC3626</v>
      </c>
      <c r="C12424" t="s">
        <v>12202</v>
      </c>
    </row>
    <row r="12425" spans="1:3" x14ac:dyDescent="0.25">
      <c r="A12425" t="str">
        <f>"0611835755025"</f>
        <v>0611835755025</v>
      </c>
      <c r="B12425" t="str">
        <f>"MC3625"</f>
        <v>MC3625</v>
      </c>
      <c r="C12425" t="s">
        <v>12203</v>
      </c>
    </row>
    <row r="12426" spans="1:3" x14ac:dyDescent="0.25">
      <c r="A12426" t="str">
        <f>"0611831751100"</f>
        <v>0611831751100</v>
      </c>
      <c r="B12426" t="str">
        <f>"LL1321"</f>
        <v>LL1321</v>
      </c>
      <c r="C12426" t="s">
        <v>12204</v>
      </c>
    </row>
    <row r="12427" spans="1:3" x14ac:dyDescent="0.25">
      <c r="A12427" t="str">
        <f>"0611884053025"</f>
        <v>0611884053025</v>
      </c>
      <c r="B12427" t="str">
        <f>"MC4453"</f>
        <v>MC4453</v>
      </c>
      <c r="C12427" t="s">
        <v>1443</v>
      </c>
    </row>
    <row r="12428" spans="1:3" x14ac:dyDescent="0.25">
      <c r="A12428" t="str">
        <f>"0611831753100"</f>
        <v>0611831753100</v>
      </c>
      <c r="B12428" t="str">
        <f>"LL5011"</f>
        <v>LL5011</v>
      </c>
      <c r="C12428" t="s">
        <v>12205</v>
      </c>
    </row>
    <row r="12429" spans="1:3" x14ac:dyDescent="0.25">
      <c r="A12429" t="str">
        <f>"0611831760100"</f>
        <v>0611831760100</v>
      </c>
      <c r="B12429" t="str">
        <f>"LL8020"</f>
        <v>LL8020</v>
      </c>
      <c r="C12429" t="s">
        <v>12206</v>
      </c>
    </row>
    <row r="12430" spans="1:3" x14ac:dyDescent="0.25">
      <c r="A12430" t="str">
        <f>"0611831755100"</f>
        <v>0611831755100</v>
      </c>
      <c r="B12430" t="str">
        <f>"LL1320"</f>
        <v>LL1320</v>
      </c>
      <c r="C12430" t="s">
        <v>12207</v>
      </c>
    </row>
    <row r="12431" spans="1:3" x14ac:dyDescent="0.25">
      <c r="A12431" t="str">
        <f>"0611831756100"</f>
        <v>0611831756100</v>
      </c>
      <c r="B12431" t="str">
        <f>"LL8077"</f>
        <v>LL8077</v>
      </c>
      <c r="C12431" t="s">
        <v>12208</v>
      </c>
    </row>
    <row r="12432" spans="1:3" x14ac:dyDescent="0.25">
      <c r="A12432" t="str">
        <f>"0611831757100"</f>
        <v>0611831757100</v>
      </c>
      <c r="B12432" t="str">
        <f>"LL1330"</f>
        <v>LL1330</v>
      </c>
      <c r="C12432" t="s">
        <v>12209</v>
      </c>
    </row>
    <row r="12433" spans="1:3" x14ac:dyDescent="0.25">
      <c r="A12433" t="str">
        <f>"0611831758100"</f>
        <v>0611831758100</v>
      </c>
      <c r="B12433" t="str">
        <f>"LL1322"</f>
        <v>LL1322</v>
      </c>
      <c r="C12433" t="s">
        <v>12210</v>
      </c>
    </row>
    <row r="12434" spans="1:3" x14ac:dyDescent="0.25">
      <c r="A12434" t="str">
        <f>"0611831759100"</f>
        <v>0611831759100</v>
      </c>
      <c r="B12434" t="str">
        <f>"LL1323"</f>
        <v>LL1323</v>
      </c>
      <c r="C12434" t="s">
        <v>12211</v>
      </c>
    </row>
    <row r="12435" spans="1:3" x14ac:dyDescent="0.25">
      <c r="A12435" t="str">
        <f>"0611839510100"</f>
        <v>0611839510100</v>
      </c>
      <c r="B12435" t="str">
        <f>"LF7694"</f>
        <v>LF7694</v>
      </c>
      <c r="C12435" t="s">
        <v>12212</v>
      </c>
    </row>
    <row r="12436" spans="1:3" x14ac:dyDescent="0.25">
      <c r="A12436" t="str">
        <f>"0611906970500"</f>
        <v>0611906970500</v>
      </c>
      <c r="B12436" t="str">
        <f>""</f>
        <v/>
      </c>
      <c r="C12436" t="s">
        <v>12213</v>
      </c>
    </row>
    <row r="12437" spans="1:3" x14ac:dyDescent="0.25">
      <c r="A12437" t="str">
        <f>"0611906971500"</f>
        <v>0611906971500</v>
      </c>
      <c r="B12437" t="str">
        <f>""</f>
        <v/>
      </c>
      <c r="C12437" t="s">
        <v>12214</v>
      </c>
    </row>
    <row r="12438" spans="1:3" x14ac:dyDescent="0.25">
      <c r="A12438" t="str">
        <f>"0611906972500"</f>
        <v>0611906972500</v>
      </c>
      <c r="B12438" t="str">
        <f>""</f>
        <v/>
      </c>
      <c r="C12438" t="s">
        <v>12215</v>
      </c>
    </row>
    <row r="12439" spans="1:3" x14ac:dyDescent="0.25">
      <c r="A12439" t="str">
        <f>"0611515685100"</f>
        <v>0611515685100</v>
      </c>
      <c r="B12439" t="str">
        <f>""</f>
        <v/>
      </c>
      <c r="C12439" t="s">
        <v>13948</v>
      </c>
    </row>
    <row r="12440" spans="1:3" x14ac:dyDescent="0.25">
      <c r="A12440" t="str">
        <f>"0611515688050"</f>
        <v>0611515688050</v>
      </c>
      <c r="B12440" t="str">
        <f>""</f>
        <v/>
      </c>
      <c r="C12440" t="s">
        <v>13949</v>
      </c>
    </row>
    <row r="12441" spans="1:3" x14ac:dyDescent="0.25">
      <c r="A12441" t="str">
        <f>"0611820124250"</f>
        <v>0611820124250</v>
      </c>
      <c r="B12441" t="str">
        <f>"KN0192"</f>
        <v>KN0192</v>
      </c>
      <c r="C12441" t="s">
        <v>12216</v>
      </c>
    </row>
    <row r="12442" spans="1:3" x14ac:dyDescent="0.25">
      <c r="A12442" t="str">
        <f>"0611645909200"</f>
        <v>0611645909200</v>
      </c>
      <c r="B12442" t="str">
        <f>"KN0131"</f>
        <v>KN0131</v>
      </c>
      <c r="C12442" t="s">
        <v>12227</v>
      </c>
    </row>
    <row r="12443" spans="1:3" x14ac:dyDescent="0.25">
      <c r="A12443" t="str">
        <f>"06118201251000"</f>
        <v>06118201251000</v>
      </c>
      <c r="B12443" t="str">
        <f>"KN0141"</f>
        <v>KN0141</v>
      </c>
      <c r="C12443" t="s">
        <v>12228</v>
      </c>
    </row>
    <row r="12444" spans="1:3" x14ac:dyDescent="0.25">
      <c r="A12444" t="str">
        <f>"0611645911200"</f>
        <v>0611645911200</v>
      </c>
      <c r="B12444" t="str">
        <f>"KN0151"</f>
        <v>KN0151</v>
      </c>
      <c r="C12444" t="s">
        <v>12229</v>
      </c>
    </row>
    <row r="12445" spans="1:3" x14ac:dyDescent="0.25">
      <c r="A12445" t="str">
        <f>"0611645912200"</f>
        <v>0611645912200</v>
      </c>
      <c r="B12445" t="str">
        <f>"KN0161"</f>
        <v>KN0161</v>
      </c>
      <c r="C12445" t="s">
        <v>12230</v>
      </c>
    </row>
    <row r="12446" spans="1:3" x14ac:dyDescent="0.25">
      <c r="A12446" t="str">
        <f>"0611645913200"</f>
        <v>0611645913200</v>
      </c>
      <c r="B12446" t="str">
        <f>"KN0181"</f>
        <v>KN0181</v>
      </c>
      <c r="C12446" t="s">
        <v>12231</v>
      </c>
    </row>
    <row r="12447" spans="1:3" x14ac:dyDescent="0.25">
      <c r="A12447" t="str">
        <f>"0611906973200"</f>
        <v>0611906973200</v>
      </c>
      <c r="B12447" t="str">
        <f>"KO5580"</f>
        <v>KO5580</v>
      </c>
      <c r="C12447" t="s">
        <v>12217</v>
      </c>
    </row>
    <row r="12448" spans="1:3" x14ac:dyDescent="0.25">
      <c r="A12448" t="str">
        <f>"0611906974200"</f>
        <v>0611906974200</v>
      </c>
      <c r="B12448" t="str">
        <f>"KO5588"</f>
        <v>KO5588</v>
      </c>
      <c r="C12448" t="s">
        <v>12218</v>
      </c>
    </row>
    <row r="12449" spans="1:3" x14ac:dyDescent="0.25">
      <c r="A12449" t="str">
        <f>"0611906975200"</f>
        <v>0611906975200</v>
      </c>
      <c r="B12449" t="str">
        <f>"KO5590"</f>
        <v>KO5590</v>
      </c>
      <c r="C12449" t="s">
        <v>12219</v>
      </c>
    </row>
    <row r="12450" spans="1:3" x14ac:dyDescent="0.25">
      <c r="A12450" t="str">
        <f>"0611906976200"</f>
        <v>0611906976200</v>
      </c>
      <c r="B12450" t="str">
        <f>"KO5592"</f>
        <v>KO5592</v>
      </c>
      <c r="C12450" t="s">
        <v>12220</v>
      </c>
    </row>
    <row r="12451" spans="1:3" x14ac:dyDescent="0.25">
      <c r="A12451" t="str">
        <f>"0611906977200"</f>
        <v>0611906977200</v>
      </c>
      <c r="B12451" t="str">
        <f>"KO5594"</f>
        <v>KO5594</v>
      </c>
      <c r="C12451" t="s">
        <v>12221</v>
      </c>
    </row>
    <row r="12452" spans="1:3" x14ac:dyDescent="0.25">
      <c r="A12452" t="str">
        <f>"0611906978200"</f>
        <v>0611906978200</v>
      </c>
      <c r="B12452" t="str">
        <f>"KO5596"</f>
        <v>KO5596</v>
      </c>
      <c r="C12452" t="s">
        <v>12222</v>
      </c>
    </row>
    <row r="12453" spans="1:3" x14ac:dyDescent="0.25">
      <c r="A12453" t="str">
        <f>"0611906979200"</f>
        <v>0611906979200</v>
      </c>
      <c r="B12453" t="str">
        <f>"KO5598"</f>
        <v>KO5598</v>
      </c>
      <c r="C12453" t="s">
        <v>12223</v>
      </c>
    </row>
    <row r="12454" spans="1:3" x14ac:dyDescent="0.25">
      <c r="A12454" t="str">
        <f>"0611906980200"</f>
        <v>0611906980200</v>
      </c>
      <c r="B12454" t="str">
        <f>"KO5602"</f>
        <v>KO5602</v>
      </c>
      <c r="C12454" t="s">
        <v>12224</v>
      </c>
    </row>
    <row r="12455" spans="1:3" x14ac:dyDescent="0.25">
      <c r="A12455" t="str">
        <f>"0611906981200"</f>
        <v>0611906981200</v>
      </c>
      <c r="B12455" t="str">
        <f>"KO5608"</f>
        <v>KO5608</v>
      </c>
      <c r="C12455" t="s">
        <v>12225</v>
      </c>
    </row>
    <row r="12456" spans="1:3" x14ac:dyDescent="0.25">
      <c r="A12456" t="str">
        <f>"0611906982200"</f>
        <v>0611906982200</v>
      </c>
      <c r="B12456" t="str">
        <f>"KO5610"</f>
        <v>KO5610</v>
      </c>
      <c r="C12456" t="s">
        <v>12226</v>
      </c>
    </row>
    <row r="12457" spans="1:3" x14ac:dyDescent="0.25">
      <c r="A12457" t="str">
        <f>"0611857135200"</f>
        <v>0611857135200</v>
      </c>
      <c r="B12457" t="str">
        <f>"KO5613"</f>
        <v>KO5613</v>
      </c>
      <c r="C12457" t="s">
        <v>12232</v>
      </c>
    </row>
    <row r="12458" spans="1:3" x14ac:dyDescent="0.25">
      <c r="A12458" t="str">
        <f>"0611857136200"</f>
        <v>0611857136200</v>
      </c>
      <c r="B12458" t="str">
        <f>"KO5589"</f>
        <v>KO5589</v>
      </c>
      <c r="C12458" t="s">
        <v>12233</v>
      </c>
    </row>
    <row r="12459" spans="1:3" x14ac:dyDescent="0.25">
      <c r="A12459" t="str">
        <f>"0611857137200"</f>
        <v>0611857137200</v>
      </c>
      <c r="B12459" t="str">
        <f>"KO5591"</f>
        <v>KO5591</v>
      </c>
      <c r="C12459" t="s">
        <v>12234</v>
      </c>
    </row>
    <row r="12460" spans="1:3" x14ac:dyDescent="0.25">
      <c r="A12460" t="str">
        <f>"0611857138200"</f>
        <v>0611857138200</v>
      </c>
      <c r="B12460" t="str">
        <f>"KO5616"</f>
        <v>KO5616</v>
      </c>
      <c r="C12460" t="s">
        <v>12235</v>
      </c>
    </row>
    <row r="12461" spans="1:3" x14ac:dyDescent="0.25">
      <c r="A12461" t="str">
        <f>"0611857139200"</f>
        <v>0611857139200</v>
      </c>
      <c r="B12461" t="str">
        <f>"KO5617"</f>
        <v>KO5617</v>
      </c>
      <c r="C12461" t="s">
        <v>12236</v>
      </c>
    </row>
    <row r="12462" spans="1:3" x14ac:dyDescent="0.25">
      <c r="A12462" t="str">
        <f>"0611857140200"</f>
        <v>0611857140200</v>
      </c>
      <c r="B12462" t="str">
        <f>"KO5619"</f>
        <v>KO5619</v>
      </c>
      <c r="C12462" t="s">
        <v>12237</v>
      </c>
    </row>
    <row r="12463" spans="1:3" x14ac:dyDescent="0.25">
      <c r="A12463" t="str">
        <f>"0611857141200"</f>
        <v>0611857141200</v>
      </c>
      <c r="B12463" t="str">
        <f>"KO5614"</f>
        <v>KO5614</v>
      </c>
      <c r="C12463" t="s">
        <v>12238</v>
      </c>
    </row>
    <row r="12464" spans="1:3" x14ac:dyDescent="0.25">
      <c r="A12464" t="str">
        <f>"0611857142200"</f>
        <v>0611857142200</v>
      </c>
      <c r="B12464" t="str">
        <f>"KO5620"</f>
        <v>KO5620</v>
      </c>
      <c r="C12464" t="s">
        <v>12239</v>
      </c>
    </row>
    <row r="12465" spans="1:3" x14ac:dyDescent="0.25">
      <c r="A12465" t="str">
        <f>"0611857143200"</f>
        <v>0611857143200</v>
      </c>
      <c r="B12465" t="str">
        <f>"KO5621"</f>
        <v>KO5621</v>
      </c>
      <c r="C12465" t="s">
        <v>12240</v>
      </c>
    </row>
    <row r="12466" spans="1:3" x14ac:dyDescent="0.25">
      <c r="A12466" t="str">
        <f>"0611857144200"</f>
        <v>0611857144200</v>
      </c>
      <c r="B12466" t="str">
        <f>"KO5622"</f>
        <v>KO5622</v>
      </c>
      <c r="C12466" t="s">
        <v>12241</v>
      </c>
    </row>
    <row r="12467" spans="1:3" x14ac:dyDescent="0.25">
      <c r="A12467" t="str">
        <f>"0611857145200"</f>
        <v>0611857145200</v>
      </c>
      <c r="B12467" t="str">
        <f>"KO5623"</f>
        <v>KO5623</v>
      </c>
      <c r="C12467" t="s">
        <v>12242</v>
      </c>
    </row>
    <row r="12468" spans="1:3" x14ac:dyDescent="0.25">
      <c r="A12468" t="str">
        <f>"0611857146200"</f>
        <v>0611857146200</v>
      </c>
      <c r="B12468" t="str">
        <f>"KO5625"</f>
        <v>KO5625</v>
      </c>
      <c r="C12468" t="s">
        <v>12243</v>
      </c>
    </row>
    <row r="12469" spans="1:3" x14ac:dyDescent="0.25">
      <c r="A12469" t="str">
        <f>"0611857147200"</f>
        <v>0611857147200</v>
      </c>
      <c r="B12469" t="str">
        <f>"KO5626"</f>
        <v>KO5626</v>
      </c>
      <c r="C12469" t="s">
        <v>12244</v>
      </c>
    </row>
    <row r="12470" spans="1:3" x14ac:dyDescent="0.25">
      <c r="A12470" t="str">
        <f>"0611857148200"</f>
        <v>0611857148200</v>
      </c>
      <c r="B12470" t="str">
        <f>"KO5627"</f>
        <v>KO5627</v>
      </c>
      <c r="C12470" t="s">
        <v>12245</v>
      </c>
    </row>
    <row r="12471" spans="1:3" x14ac:dyDescent="0.25">
      <c r="A12471" t="str">
        <f>"0611857149200"</f>
        <v>0611857149200</v>
      </c>
      <c r="B12471" t="str">
        <f>"KO5628"</f>
        <v>KO5628</v>
      </c>
      <c r="C12471" t="s">
        <v>12246</v>
      </c>
    </row>
    <row r="12472" spans="1:3" x14ac:dyDescent="0.25">
      <c r="A12472" t="str">
        <f>"0611857150200"</f>
        <v>0611857150200</v>
      </c>
      <c r="B12472" t="str">
        <f>"KO5629"</f>
        <v>KO5629</v>
      </c>
      <c r="C12472" t="s">
        <v>12247</v>
      </c>
    </row>
    <row r="12473" spans="1:3" x14ac:dyDescent="0.25">
      <c r="A12473" t="str">
        <f>"0611839736100"</f>
        <v>0611839736100</v>
      </c>
      <c r="B12473" t="str">
        <f>"LK3516"</f>
        <v>LK3516</v>
      </c>
      <c r="C12473" t="s">
        <v>12248</v>
      </c>
    </row>
    <row r="12474" spans="1:3" x14ac:dyDescent="0.25">
      <c r="A12474" t="str">
        <f>"0611839738025"</f>
        <v>0611839738025</v>
      </c>
      <c r="B12474" t="str">
        <f>"MC3813"</f>
        <v>MC3813</v>
      </c>
      <c r="C12474" t="s">
        <v>12249</v>
      </c>
    </row>
    <row r="12475" spans="1:3" x14ac:dyDescent="0.25">
      <c r="A12475" t="str">
        <f>"0611839739025"</f>
        <v>0611839739025</v>
      </c>
      <c r="B12475" t="str">
        <f>"MC1391"</f>
        <v>MC1391</v>
      </c>
      <c r="C12475" t="s">
        <v>12250</v>
      </c>
    </row>
    <row r="12476" spans="1:3" x14ac:dyDescent="0.25">
      <c r="A12476" t="str">
        <f>"0611839740100"</f>
        <v>0611839740100</v>
      </c>
      <c r="B12476" t="str">
        <f>"LH7085"</f>
        <v>LH7085</v>
      </c>
      <c r="C12476" t="s">
        <v>12251</v>
      </c>
    </row>
    <row r="12477" spans="1:3" x14ac:dyDescent="0.25">
      <c r="A12477" t="str">
        <f>"0611839741025"</f>
        <v>0611839741025</v>
      </c>
      <c r="B12477" t="str">
        <f>"MC0707"</f>
        <v>MC0707</v>
      </c>
      <c r="C12477" t="s">
        <v>12252</v>
      </c>
    </row>
    <row r="12478" spans="1:3" x14ac:dyDescent="0.25">
      <c r="A12478" t="str">
        <f>"0611839742025"</f>
        <v>0611839742025</v>
      </c>
      <c r="B12478" t="str">
        <f>"MC0708"</f>
        <v>MC0708</v>
      </c>
      <c r="C12478" t="s">
        <v>12253</v>
      </c>
    </row>
    <row r="12479" spans="1:3" x14ac:dyDescent="0.25">
      <c r="A12479" t="str">
        <f>"0611831078100"</f>
        <v>0611831078100</v>
      </c>
      <c r="B12479" t="str">
        <f>"LC9452"</f>
        <v>LC9452</v>
      </c>
      <c r="C12479" t="s">
        <v>12254</v>
      </c>
    </row>
    <row r="12480" spans="1:3" x14ac:dyDescent="0.25">
      <c r="A12480" t="str">
        <f>"0611831079025"</f>
        <v>0611831079025</v>
      </c>
      <c r="B12480" t="str">
        <f>"MC0963"</f>
        <v>MC0963</v>
      </c>
      <c r="C12480" t="s">
        <v>12255</v>
      </c>
    </row>
    <row r="12481" spans="1:3" x14ac:dyDescent="0.25">
      <c r="A12481" t="str">
        <f>"0611831091100"</f>
        <v>0611831091100</v>
      </c>
      <c r="B12481" t="str">
        <f>"LC9450"</f>
        <v>LC9450</v>
      </c>
      <c r="C12481" t="s">
        <v>12256</v>
      </c>
    </row>
    <row r="12482" spans="1:3" x14ac:dyDescent="0.25">
      <c r="A12482" t="str">
        <f>"0611839722100"</f>
        <v>0611839722100</v>
      </c>
      <c r="B12482" t="str">
        <f>"LC9453"</f>
        <v>LC9453</v>
      </c>
      <c r="C12482" t="s">
        <v>12257</v>
      </c>
    </row>
    <row r="12483" spans="1:3" x14ac:dyDescent="0.25">
      <c r="A12483" t="str">
        <f>"0611831083100"</f>
        <v>0611831083100</v>
      </c>
      <c r="B12483" t="str">
        <f>"LC9451"</f>
        <v>LC9451</v>
      </c>
      <c r="C12483" t="s">
        <v>12258</v>
      </c>
    </row>
    <row r="12484" spans="1:3" x14ac:dyDescent="0.25">
      <c r="A12484" t="str">
        <f>"0611839744025"</f>
        <v>0611839744025</v>
      </c>
      <c r="B12484" t="str">
        <f>"MC2854"</f>
        <v>MC2854</v>
      </c>
      <c r="C12484" t="s">
        <v>12259</v>
      </c>
    </row>
    <row r="12485" spans="1:3" x14ac:dyDescent="0.25">
      <c r="A12485" t="str">
        <f>"0611839745025"</f>
        <v>0611839745025</v>
      </c>
      <c r="B12485" t="str">
        <f>"MC0711"</f>
        <v>MC0711</v>
      </c>
      <c r="C12485" t="s">
        <v>12260</v>
      </c>
    </row>
    <row r="12486" spans="1:3" x14ac:dyDescent="0.25">
      <c r="A12486" t="str">
        <f>"0611839746100"</f>
        <v>0611839746100</v>
      </c>
      <c r="B12486" t="str">
        <f>"LC6702"</f>
        <v>LC6702</v>
      </c>
      <c r="C12486" t="s">
        <v>12261</v>
      </c>
    </row>
    <row r="12487" spans="1:3" x14ac:dyDescent="0.25">
      <c r="A12487" t="str">
        <f>"0611839749100"</f>
        <v>0611839749100</v>
      </c>
      <c r="B12487" t="str">
        <f>"LD0021"</f>
        <v>LD0021</v>
      </c>
      <c r="C12487" t="s">
        <v>12262</v>
      </c>
    </row>
    <row r="12488" spans="1:3" x14ac:dyDescent="0.25">
      <c r="A12488" t="str">
        <f>"0611839750100"</f>
        <v>0611839750100</v>
      </c>
      <c r="B12488" t="str">
        <f>"LK0417"</f>
        <v>LK0417</v>
      </c>
      <c r="C12488" t="s">
        <v>12263</v>
      </c>
    </row>
    <row r="12489" spans="1:3" x14ac:dyDescent="0.25">
      <c r="A12489" t="str">
        <f>"0611839751100"</f>
        <v>0611839751100</v>
      </c>
      <c r="B12489" t="str">
        <f>"LK4787"</f>
        <v>LK4787</v>
      </c>
      <c r="C12489" t="s">
        <v>12264</v>
      </c>
    </row>
    <row r="12490" spans="1:3" x14ac:dyDescent="0.25">
      <c r="A12490" t="str">
        <f>"0611839752100"</f>
        <v>0611839752100</v>
      </c>
      <c r="B12490" t="str">
        <f>"LK5437"</f>
        <v>LK5437</v>
      </c>
      <c r="C12490" t="s">
        <v>12265</v>
      </c>
    </row>
    <row r="12491" spans="1:3" x14ac:dyDescent="0.25">
      <c r="A12491" t="str">
        <f>"0611839753100"</f>
        <v>0611839753100</v>
      </c>
      <c r="B12491" t="str">
        <f>"LK6038"</f>
        <v>LK6038</v>
      </c>
      <c r="C12491" t="s">
        <v>12266</v>
      </c>
    </row>
    <row r="12492" spans="1:3" x14ac:dyDescent="0.25">
      <c r="A12492" t="str">
        <f>"0611839754100"</f>
        <v>0611839754100</v>
      </c>
      <c r="B12492" t="str">
        <f>"LQ9031"</f>
        <v>LQ9031</v>
      </c>
      <c r="C12492" t="s">
        <v>12267</v>
      </c>
    </row>
    <row r="12493" spans="1:3" x14ac:dyDescent="0.25">
      <c r="A12493" t="str">
        <f>"0611839755100"</f>
        <v>0611839755100</v>
      </c>
      <c r="B12493" t="str">
        <f>"LQ9032"</f>
        <v>LQ9032</v>
      </c>
      <c r="C12493" t="s">
        <v>12268</v>
      </c>
    </row>
    <row r="12494" spans="1:3" x14ac:dyDescent="0.25">
      <c r="A12494" t="str">
        <f>"0611839756100"</f>
        <v>0611839756100</v>
      </c>
      <c r="B12494" t="str">
        <f>"LK6039"</f>
        <v>LK6039</v>
      </c>
      <c r="C12494" t="s">
        <v>12269</v>
      </c>
    </row>
    <row r="12495" spans="1:3" x14ac:dyDescent="0.25">
      <c r="A12495" t="str">
        <f>"0611839757100"</f>
        <v>0611839757100</v>
      </c>
      <c r="B12495" t="str">
        <f>"LQ9033"</f>
        <v>LQ9033</v>
      </c>
      <c r="C12495" t="s">
        <v>12270</v>
      </c>
    </row>
    <row r="12496" spans="1:3" x14ac:dyDescent="0.25">
      <c r="A12496" t="str">
        <f>"0611839758100"</f>
        <v>0611839758100</v>
      </c>
      <c r="B12496" t="str">
        <f>"MB8000"</f>
        <v>MB8000</v>
      </c>
      <c r="C12496" t="s">
        <v>12271</v>
      </c>
    </row>
    <row r="12497" spans="1:3" x14ac:dyDescent="0.25">
      <c r="A12497" t="str">
        <f>"0611839759100"</f>
        <v>0611839759100</v>
      </c>
      <c r="B12497" t="str">
        <f>"LB9100"</f>
        <v>LB9100</v>
      </c>
      <c r="C12497" t="s">
        <v>12272</v>
      </c>
    </row>
    <row r="12498" spans="1:3" x14ac:dyDescent="0.25">
      <c r="A12498" t="str">
        <f>"0611839760100"</f>
        <v>0611839760100</v>
      </c>
      <c r="B12498" t="str">
        <f>"LK1199"</f>
        <v>LK1199</v>
      </c>
      <c r="C12498" t="s">
        <v>12273</v>
      </c>
    </row>
    <row r="12499" spans="1:3" x14ac:dyDescent="0.25">
      <c r="A12499" t="str">
        <f>"0611839761100"</f>
        <v>0611839761100</v>
      </c>
      <c r="B12499" t="str">
        <f>"LD0022"</f>
        <v>LD0022</v>
      </c>
      <c r="C12499" t="s">
        <v>12274</v>
      </c>
    </row>
    <row r="12500" spans="1:3" x14ac:dyDescent="0.25">
      <c r="A12500" t="str">
        <f>"0611839762100"</f>
        <v>0611839762100</v>
      </c>
      <c r="B12500" t="str">
        <f>"LK6510"</f>
        <v>LK6510</v>
      </c>
      <c r="C12500" t="s">
        <v>12275</v>
      </c>
    </row>
    <row r="12501" spans="1:3" x14ac:dyDescent="0.25">
      <c r="A12501" t="str">
        <f>"0611839763025"</f>
        <v>0611839763025</v>
      </c>
      <c r="B12501" t="str">
        <f>"MC3105"</f>
        <v>MC3105</v>
      </c>
      <c r="C12501" t="s">
        <v>12276</v>
      </c>
    </row>
    <row r="12502" spans="1:3" x14ac:dyDescent="0.25">
      <c r="A12502" t="str">
        <f>"0611839764100"</f>
        <v>0611839764100</v>
      </c>
      <c r="B12502" t="str">
        <f>"LD0023"</f>
        <v>LD0023</v>
      </c>
      <c r="C12502" t="s">
        <v>12277</v>
      </c>
    </row>
    <row r="12503" spans="1:3" x14ac:dyDescent="0.25">
      <c r="A12503" t="str">
        <f>"0611839765100"</f>
        <v>0611839765100</v>
      </c>
      <c r="B12503" t="str">
        <f>"LB9101"</f>
        <v>LB9101</v>
      </c>
      <c r="C12503" t="s">
        <v>12278</v>
      </c>
    </row>
    <row r="12504" spans="1:3" x14ac:dyDescent="0.25">
      <c r="A12504" t="str">
        <f>"0611839767100"</f>
        <v>0611839767100</v>
      </c>
      <c r="B12504" t="str">
        <f>"LK6773"</f>
        <v>LK6773</v>
      </c>
      <c r="C12504" t="s">
        <v>12279</v>
      </c>
    </row>
    <row r="12505" spans="1:3" x14ac:dyDescent="0.25">
      <c r="A12505" t="str">
        <f>"0611839768100"</f>
        <v>0611839768100</v>
      </c>
      <c r="B12505" t="str">
        <f>"LK6040"</f>
        <v>LK6040</v>
      </c>
      <c r="C12505" t="s">
        <v>12280</v>
      </c>
    </row>
    <row r="12506" spans="1:3" x14ac:dyDescent="0.25">
      <c r="A12506" t="str">
        <f>"0611884476100"</f>
        <v>0611884476100</v>
      </c>
      <c r="B12506" t="str">
        <f>"LQ3908"</f>
        <v>LQ3908</v>
      </c>
      <c r="C12506" t="s">
        <v>12281</v>
      </c>
    </row>
    <row r="12507" spans="1:3" x14ac:dyDescent="0.25">
      <c r="A12507" t="str">
        <f>"0611906983100"</f>
        <v>0611906983100</v>
      </c>
      <c r="B12507" t="str">
        <f>"LQ3954"</f>
        <v>LQ3954</v>
      </c>
      <c r="C12507" t="s">
        <v>12282</v>
      </c>
    </row>
    <row r="12508" spans="1:3" x14ac:dyDescent="0.25">
      <c r="A12508" t="str">
        <f>"0611839769100"</f>
        <v>0611839769100</v>
      </c>
      <c r="B12508" t="str">
        <f>"LK4273"</f>
        <v>LK4273</v>
      </c>
      <c r="C12508" t="s">
        <v>12283</v>
      </c>
    </row>
    <row r="12509" spans="1:3" x14ac:dyDescent="0.25">
      <c r="A12509" t="str">
        <f>"0611839770100"</f>
        <v>0611839770100</v>
      </c>
      <c r="B12509" t="str">
        <f>"LK3795"</f>
        <v>LK3795</v>
      </c>
      <c r="C12509" t="s">
        <v>12284</v>
      </c>
    </row>
    <row r="12510" spans="1:3" x14ac:dyDescent="0.25">
      <c r="A12510" t="str">
        <f>"0611839771100"</f>
        <v>0611839771100</v>
      </c>
      <c r="B12510" t="str">
        <f>"LB9102"</f>
        <v>LB9102</v>
      </c>
      <c r="C12510" t="s">
        <v>12285</v>
      </c>
    </row>
    <row r="12511" spans="1:3" x14ac:dyDescent="0.25">
      <c r="A12511" t="str">
        <f>"0611839772100"</f>
        <v>0611839772100</v>
      </c>
      <c r="B12511" t="str">
        <f>"LK0992"</f>
        <v>LK0992</v>
      </c>
      <c r="C12511" t="s">
        <v>12286</v>
      </c>
    </row>
    <row r="12512" spans="1:3" x14ac:dyDescent="0.25">
      <c r="A12512" t="str">
        <f>"0611839773100"</f>
        <v>0611839773100</v>
      </c>
      <c r="B12512" t="str">
        <f>"LK0993"</f>
        <v>LK0993</v>
      </c>
      <c r="C12512" t="s">
        <v>12287</v>
      </c>
    </row>
    <row r="12513" spans="1:3" x14ac:dyDescent="0.25">
      <c r="A12513" t="str">
        <f>"0611839775100"</f>
        <v>0611839775100</v>
      </c>
      <c r="B12513" t="str">
        <f>"LQ3683"</f>
        <v>LQ3683</v>
      </c>
      <c r="C12513" t="s">
        <v>12288</v>
      </c>
    </row>
    <row r="12514" spans="1:3" x14ac:dyDescent="0.25">
      <c r="A12514" t="str">
        <f>"0611884477100"</f>
        <v>0611884477100</v>
      </c>
      <c r="B12514" t="str">
        <f>"LQ3909"</f>
        <v>LQ3909</v>
      </c>
      <c r="C12514" t="s">
        <v>12289</v>
      </c>
    </row>
    <row r="12515" spans="1:3" x14ac:dyDescent="0.25">
      <c r="A12515" t="str">
        <f>"0611839776100"</f>
        <v>0611839776100</v>
      </c>
      <c r="B12515" t="str">
        <f>"LQ3744"</f>
        <v>LQ3744</v>
      </c>
      <c r="C12515" t="s">
        <v>12290</v>
      </c>
    </row>
    <row r="12516" spans="1:3" x14ac:dyDescent="0.25">
      <c r="A12516" t="str">
        <f>"0611864107050"</f>
        <v>0611864107050</v>
      </c>
      <c r="B12516" t="str">
        <f>"CR5245"</f>
        <v>CR5245</v>
      </c>
      <c r="C12516" t="s">
        <v>13950</v>
      </c>
    </row>
    <row r="12517" spans="1:3" x14ac:dyDescent="0.25">
      <c r="A12517" t="str">
        <f>"0611839777100"</f>
        <v>0611839777100</v>
      </c>
      <c r="B12517" t="str">
        <f>"LQ3684"</f>
        <v>LQ3684</v>
      </c>
      <c r="C12517" t="s">
        <v>12291</v>
      </c>
    </row>
    <row r="12518" spans="1:3" x14ac:dyDescent="0.25">
      <c r="A12518" t="str">
        <f>"0611839778100"</f>
        <v>0611839778100</v>
      </c>
      <c r="B12518" t="str">
        <f>"LQ3685"</f>
        <v>LQ3685</v>
      </c>
      <c r="C12518" t="s">
        <v>12292</v>
      </c>
    </row>
    <row r="12519" spans="1:3" x14ac:dyDescent="0.25">
      <c r="A12519" t="str">
        <f>"0611864108050"</f>
        <v>0611864108050</v>
      </c>
      <c r="B12519" t="str">
        <f>"CR5246"</f>
        <v>CR5246</v>
      </c>
      <c r="C12519" t="s">
        <v>13951</v>
      </c>
    </row>
    <row r="12520" spans="1:3" x14ac:dyDescent="0.25">
      <c r="A12520" t="str">
        <f>"0611839779100"</f>
        <v>0611839779100</v>
      </c>
      <c r="B12520" t="str">
        <f>"LQ3686"</f>
        <v>LQ3686</v>
      </c>
      <c r="C12520" t="s">
        <v>12293</v>
      </c>
    </row>
    <row r="12521" spans="1:3" x14ac:dyDescent="0.25">
      <c r="A12521" t="str">
        <f>"0611839780100"</f>
        <v>0611839780100</v>
      </c>
      <c r="B12521" t="str">
        <f>"LQ3687"</f>
        <v>LQ3687</v>
      </c>
      <c r="C12521" t="s">
        <v>12294</v>
      </c>
    </row>
    <row r="12522" spans="1:3" x14ac:dyDescent="0.25">
      <c r="A12522" t="str">
        <f>"0611839781100"</f>
        <v>0611839781100</v>
      </c>
      <c r="B12522" t="str">
        <f>"LQ3688"</f>
        <v>LQ3688</v>
      </c>
      <c r="C12522" t="s">
        <v>12295</v>
      </c>
    </row>
    <row r="12523" spans="1:3" x14ac:dyDescent="0.25">
      <c r="A12523" t="str">
        <f>"0611839782100"</f>
        <v>0611839782100</v>
      </c>
      <c r="B12523" t="str">
        <f>"LD0024"</f>
        <v>LD0024</v>
      </c>
      <c r="C12523" t="s">
        <v>12296</v>
      </c>
    </row>
    <row r="12524" spans="1:3" x14ac:dyDescent="0.25">
      <c r="A12524" t="str">
        <f>"0611835186025"</f>
        <v>0611835186025</v>
      </c>
      <c r="B12524" t="str">
        <f>"MC2296"</f>
        <v>MC2296</v>
      </c>
      <c r="C12524" t="s">
        <v>12366</v>
      </c>
    </row>
    <row r="12525" spans="1:3" x14ac:dyDescent="0.25">
      <c r="A12525" t="str">
        <f>"0611835152025"</f>
        <v>0611835152025</v>
      </c>
      <c r="B12525" t="str">
        <f>"MC1397"</f>
        <v>MC1397</v>
      </c>
      <c r="C12525" t="s">
        <v>12297</v>
      </c>
    </row>
    <row r="12526" spans="1:3" x14ac:dyDescent="0.25">
      <c r="A12526" t="str">
        <f>"0611884478025"</f>
        <v>0611884478025</v>
      </c>
      <c r="B12526" t="str">
        <f>"MC2934"</f>
        <v>MC2934</v>
      </c>
      <c r="C12526" t="s">
        <v>12298</v>
      </c>
    </row>
    <row r="12527" spans="1:3" x14ac:dyDescent="0.25">
      <c r="A12527" t="str">
        <f>"0611884479025"</f>
        <v>0611884479025</v>
      </c>
      <c r="B12527" t="str">
        <f>"MC4508"</f>
        <v>MC4508</v>
      </c>
      <c r="C12527" t="s">
        <v>12299</v>
      </c>
    </row>
    <row r="12528" spans="1:3" x14ac:dyDescent="0.25">
      <c r="A12528" t="str">
        <f>"0611835153100"</f>
        <v>0611835153100</v>
      </c>
      <c r="B12528" t="str">
        <f>"LC9504"</f>
        <v>LC9504</v>
      </c>
      <c r="C12528" t="s">
        <v>12300</v>
      </c>
    </row>
    <row r="12529" spans="1:3" x14ac:dyDescent="0.25">
      <c r="A12529" t="str">
        <f>"0611884480025"</f>
        <v>0611884480025</v>
      </c>
      <c r="B12529" t="str">
        <f>"MC2935"</f>
        <v>MC2935</v>
      </c>
      <c r="C12529" t="s">
        <v>12301</v>
      </c>
    </row>
    <row r="12530" spans="1:3" x14ac:dyDescent="0.25">
      <c r="A12530" t="str">
        <f>"0611835154100"</f>
        <v>0611835154100</v>
      </c>
      <c r="B12530" t="str">
        <f>"LC3408"</f>
        <v>LC3408</v>
      </c>
      <c r="C12530" t="s">
        <v>12302</v>
      </c>
    </row>
    <row r="12531" spans="1:3" x14ac:dyDescent="0.25">
      <c r="A12531" t="str">
        <f>"0611835155025"</f>
        <v>0611835155025</v>
      </c>
      <c r="B12531" t="str">
        <f>"MC0717"</f>
        <v>MC0717</v>
      </c>
      <c r="C12531" t="s">
        <v>12303</v>
      </c>
    </row>
    <row r="12532" spans="1:3" x14ac:dyDescent="0.25">
      <c r="A12532" t="str">
        <f>"0611835156025"</f>
        <v>0611835156025</v>
      </c>
      <c r="B12532" t="str">
        <f>"MC2295"</f>
        <v>MC2295</v>
      </c>
      <c r="C12532" t="s">
        <v>12304</v>
      </c>
    </row>
    <row r="12533" spans="1:3" x14ac:dyDescent="0.25">
      <c r="A12533" t="str">
        <f>"0611835158100"</f>
        <v>0611835158100</v>
      </c>
      <c r="B12533" t="str">
        <f>"LC9505"</f>
        <v>LC9505</v>
      </c>
      <c r="C12533" t="s">
        <v>12305</v>
      </c>
    </row>
    <row r="12534" spans="1:3" x14ac:dyDescent="0.25">
      <c r="A12534" t="str">
        <f>"0611906984100"</f>
        <v>0611906984100</v>
      </c>
      <c r="B12534" t="str">
        <f>"LC9480"</f>
        <v>LC9480</v>
      </c>
      <c r="C12534" t="s">
        <v>12306</v>
      </c>
    </row>
    <row r="12535" spans="1:3" x14ac:dyDescent="0.25">
      <c r="A12535" t="str">
        <f>"0611906985100"</f>
        <v>0611906985100</v>
      </c>
      <c r="B12535" t="str">
        <f>"LC9527"</f>
        <v>LC9527</v>
      </c>
      <c r="C12535" t="s">
        <v>12307</v>
      </c>
    </row>
    <row r="12536" spans="1:3" x14ac:dyDescent="0.25">
      <c r="A12536" t="str">
        <f>"0611835159100"</f>
        <v>0611835159100</v>
      </c>
      <c r="B12536" t="str">
        <f>"LC9514"</f>
        <v>LC9514</v>
      </c>
      <c r="C12536" t="s">
        <v>12309</v>
      </c>
    </row>
    <row r="12537" spans="1:3" x14ac:dyDescent="0.25">
      <c r="A12537" t="str">
        <f>"0611835160025"</f>
        <v>0611835160025</v>
      </c>
      <c r="B12537" t="str">
        <f>"MC1755"</f>
        <v>MC1755</v>
      </c>
      <c r="C12537" t="s">
        <v>12310</v>
      </c>
    </row>
    <row r="12538" spans="1:3" x14ac:dyDescent="0.25">
      <c r="A12538" t="str">
        <f>"0611862560050"</f>
        <v>0611862560050</v>
      </c>
      <c r="B12538" t="str">
        <f>"CR4487"</f>
        <v>CR4487</v>
      </c>
      <c r="C12538" t="s">
        <v>12311</v>
      </c>
    </row>
    <row r="12539" spans="1:3" x14ac:dyDescent="0.25">
      <c r="A12539" t="str">
        <f>"0611835161100"</f>
        <v>0611835161100</v>
      </c>
      <c r="B12539" t="str">
        <f>"LC9529"</f>
        <v>LC9529</v>
      </c>
      <c r="C12539" t="s">
        <v>12312</v>
      </c>
    </row>
    <row r="12540" spans="1:3" x14ac:dyDescent="0.25">
      <c r="A12540" t="str">
        <f>"0611835162025"</f>
        <v>0611835162025</v>
      </c>
      <c r="B12540" t="str">
        <f>"MC4122"</f>
        <v>MC4122</v>
      </c>
      <c r="C12540" t="s">
        <v>12313</v>
      </c>
    </row>
    <row r="12541" spans="1:3" x14ac:dyDescent="0.25">
      <c r="A12541" t="str">
        <f>"0611862561100"</f>
        <v>0611862561100</v>
      </c>
      <c r="B12541" t="str">
        <f>"CN5404"</f>
        <v>CN5404</v>
      </c>
      <c r="C12541" t="s">
        <v>12314</v>
      </c>
    </row>
    <row r="12542" spans="1:3" x14ac:dyDescent="0.25">
      <c r="A12542" t="str">
        <f>"0611835163100"</f>
        <v>0611835163100</v>
      </c>
      <c r="B12542" t="str">
        <f>"LC9517"</f>
        <v>LC9517</v>
      </c>
      <c r="C12542" t="s">
        <v>12315</v>
      </c>
    </row>
    <row r="12543" spans="1:3" x14ac:dyDescent="0.25">
      <c r="A12543" t="str">
        <f>"0611862571100"</f>
        <v>0611862571100</v>
      </c>
      <c r="B12543" t="str">
        <f>"CN5408"</f>
        <v>CN5408</v>
      </c>
      <c r="C12543" t="s">
        <v>5941</v>
      </c>
    </row>
    <row r="12544" spans="1:3" x14ac:dyDescent="0.25">
      <c r="A12544" t="str">
        <f>"0611835164025"</f>
        <v>0611835164025</v>
      </c>
      <c r="B12544" t="str">
        <f>"MC1499"</f>
        <v>MC1499</v>
      </c>
      <c r="C12544" t="s">
        <v>12316</v>
      </c>
    </row>
    <row r="12545" spans="1:3" x14ac:dyDescent="0.25">
      <c r="A12545" t="str">
        <f>"0611835165100"</f>
        <v>0611835165100</v>
      </c>
      <c r="B12545" t="str">
        <f>"LC3404"</f>
        <v>LC3404</v>
      </c>
      <c r="C12545" t="s">
        <v>12317</v>
      </c>
    </row>
    <row r="12546" spans="1:3" x14ac:dyDescent="0.25">
      <c r="A12546" t="str">
        <f>"0611884481025"</f>
        <v>0611884481025</v>
      </c>
      <c r="B12546" t="str">
        <f>"MC3258"</f>
        <v>MC3258</v>
      </c>
      <c r="C12546" t="s">
        <v>12318</v>
      </c>
    </row>
    <row r="12547" spans="1:3" x14ac:dyDescent="0.25">
      <c r="A12547" t="str">
        <f>"0611884482025"</f>
        <v>0611884482025</v>
      </c>
      <c r="B12547" t="str">
        <f>"MC3259"</f>
        <v>MC3259</v>
      </c>
      <c r="C12547" t="s">
        <v>12319</v>
      </c>
    </row>
    <row r="12548" spans="1:3" x14ac:dyDescent="0.25">
      <c r="A12548" t="str">
        <f>"0611835166100"</f>
        <v>0611835166100</v>
      </c>
      <c r="B12548" t="str">
        <f>"LC9518"</f>
        <v>LC9518</v>
      </c>
      <c r="C12548" t="s">
        <v>12320</v>
      </c>
    </row>
    <row r="12549" spans="1:3" x14ac:dyDescent="0.25">
      <c r="A12549" t="str">
        <f>"0611835167100"</f>
        <v>0611835167100</v>
      </c>
      <c r="B12549" t="str">
        <f>"LC9503"</f>
        <v>LC9503</v>
      </c>
      <c r="C12549" t="s">
        <v>12321</v>
      </c>
    </row>
    <row r="12550" spans="1:3" x14ac:dyDescent="0.25">
      <c r="A12550" t="str">
        <f>"0611835168025"</f>
        <v>0611835168025</v>
      </c>
      <c r="B12550" t="str">
        <f>"MC2135"</f>
        <v>MC2135</v>
      </c>
      <c r="C12550" t="s">
        <v>12322</v>
      </c>
    </row>
    <row r="12551" spans="1:3" x14ac:dyDescent="0.25">
      <c r="A12551" t="str">
        <f>"0611835195100"</f>
        <v>0611835195100</v>
      </c>
      <c r="B12551" t="str">
        <f>"LC9620"</f>
        <v>LC9620</v>
      </c>
      <c r="C12551" t="s">
        <v>12323</v>
      </c>
    </row>
    <row r="12552" spans="1:3" x14ac:dyDescent="0.25">
      <c r="A12552" t="str">
        <f>"0611835196200"</f>
        <v>0611835196200</v>
      </c>
      <c r="B12552" t="str">
        <f>"KP9500"</f>
        <v>KP9500</v>
      </c>
      <c r="C12552" t="s">
        <v>12324</v>
      </c>
    </row>
    <row r="12553" spans="1:3" x14ac:dyDescent="0.25">
      <c r="A12553" t="str">
        <f>"0611835197025"</f>
        <v>0611835197025</v>
      </c>
      <c r="B12553" t="str">
        <f>"MC3975"</f>
        <v>MC3975</v>
      </c>
      <c r="C12553" t="s">
        <v>12325</v>
      </c>
    </row>
    <row r="12554" spans="1:3" x14ac:dyDescent="0.25">
      <c r="A12554" t="str">
        <f>"0611835169100"</f>
        <v>0611835169100</v>
      </c>
      <c r="B12554" t="str">
        <f>"LC9506"</f>
        <v>LC9506</v>
      </c>
      <c r="C12554" t="s">
        <v>12326</v>
      </c>
    </row>
    <row r="12555" spans="1:3" x14ac:dyDescent="0.25">
      <c r="A12555" t="str">
        <f>"0611906986100"</f>
        <v>0611906986100</v>
      </c>
      <c r="B12555" t="str">
        <f>"LC9519"</f>
        <v>LC9519</v>
      </c>
      <c r="C12555" t="s">
        <v>12327</v>
      </c>
    </row>
    <row r="12556" spans="1:3" x14ac:dyDescent="0.25">
      <c r="A12556" t="str">
        <f>"0611835170100"</f>
        <v>0611835170100</v>
      </c>
      <c r="B12556" t="str">
        <f>"LC9519"</f>
        <v>LC9519</v>
      </c>
      <c r="C12556" t="s">
        <v>12327</v>
      </c>
    </row>
    <row r="12557" spans="1:3" x14ac:dyDescent="0.25">
      <c r="A12557" t="str">
        <f>"0611862563100"</f>
        <v>0611862563100</v>
      </c>
      <c r="B12557" t="str">
        <f>"CN5401"</f>
        <v>CN5401</v>
      </c>
      <c r="C12557" t="s">
        <v>12329</v>
      </c>
    </row>
    <row r="12558" spans="1:3" x14ac:dyDescent="0.25">
      <c r="A12558" t="str">
        <f>"0611835171025"</f>
        <v>0611835171025</v>
      </c>
      <c r="B12558" t="str">
        <f>"MC2133"</f>
        <v>MC2133</v>
      </c>
      <c r="C12558" t="s">
        <v>12328</v>
      </c>
    </row>
    <row r="12559" spans="1:3" x14ac:dyDescent="0.25">
      <c r="A12559" t="str">
        <f>"0611884483025"</f>
        <v>0611884483025</v>
      </c>
      <c r="B12559" t="str">
        <f>"MC4509"</f>
        <v>MC4509</v>
      </c>
      <c r="C12559" t="s">
        <v>12330</v>
      </c>
    </row>
    <row r="12560" spans="1:3" x14ac:dyDescent="0.25">
      <c r="A12560" t="str">
        <f>"0611884484100"</f>
        <v>0611884484100</v>
      </c>
      <c r="B12560" t="str">
        <f>"LC9631"</f>
        <v>LC9631</v>
      </c>
      <c r="C12560" t="s">
        <v>12331</v>
      </c>
    </row>
    <row r="12561" spans="1:3" x14ac:dyDescent="0.25">
      <c r="A12561" t="str">
        <f>"0611862564100"</f>
        <v>0611862564100</v>
      </c>
      <c r="B12561" t="str">
        <f>"CN5402"</f>
        <v>CN5402</v>
      </c>
      <c r="C12561" t="s">
        <v>12332</v>
      </c>
    </row>
    <row r="12562" spans="1:3" x14ac:dyDescent="0.25">
      <c r="A12562" t="str">
        <f>"0611884485025"</f>
        <v>0611884485025</v>
      </c>
      <c r="B12562" t="str">
        <f>"MC2136"</f>
        <v>MC2136</v>
      </c>
      <c r="C12562" t="s">
        <v>12333</v>
      </c>
    </row>
    <row r="12563" spans="1:3" x14ac:dyDescent="0.25">
      <c r="A12563" t="str">
        <f>"0611835172100"</f>
        <v>0611835172100</v>
      </c>
      <c r="B12563" t="str">
        <f>"LC9520"</f>
        <v>LC9520</v>
      </c>
      <c r="C12563" t="s">
        <v>12334</v>
      </c>
    </row>
    <row r="12564" spans="1:3" x14ac:dyDescent="0.25">
      <c r="A12564" t="str">
        <f>"0611835173100"</f>
        <v>0611835173100</v>
      </c>
      <c r="B12564" t="str">
        <f>"LC9480"</f>
        <v>LC9480</v>
      </c>
      <c r="C12564" t="s">
        <v>12337</v>
      </c>
    </row>
    <row r="12565" spans="1:3" x14ac:dyDescent="0.25">
      <c r="A12565" t="str">
        <f>"0611884486100"</f>
        <v>0611884486100</v>
      </c>
      <c r="B12565" t="str">
        <f>"LC9507"</f>
        <v>LC9507</v>
      </c>
      <c r="C12565" t="s">
        <v>12337</v>
      </c>
    </row>
    <row r="12566" spans="1:3" x14ac:dyDescent="0.25">
      <c r="A12566" t="str">
        <f>"0611862565100"</f>
        <v>0611862565100</v>
      </c>
      <c r="B12566" t="str">
        <f>"CN5403"</f>
        <v>CN5403</v>
      </c>
      <c r="C12566" t="s">
        <v>12335</v>
      </c>
    </row>
    <row r="12567" spans="1:3" x14ac:dyDescent="0.25">
      <c r="A12567" t="str">
        <f>"0611835174025"</f>
        <v>0611835174025</v>
      </c>
      <c r="B12567" t="str">
        <f>"MC0820"</f>
        <v>MC0820</v>
      </c>
      <c r="C12567" t="s">
        <v>12338</v>
      </c>
    </row>
    <row r="12568" spans="1:3" x14ac:dyDescent="0.25">
      <c r="A12568" t="str">
        <f>"0611835175100"</f>
        <v>0611835175100</v>
      </c>
      <c r="B12568" t="str">
        <f>"LC9508"</f>
        <v>LC9508</v>
      </c>
      <c r="C12568" t="s">
        <v>12339</v>
      </c>
    </row>
    <row r="12569" spans="1:3" x14ac:dyDescent="0.25">
      <c r="A12569" t="str">
        <f>"0611856979025"</f>
        <v>0611856979025</v>
      </c>
      <c r="B12569" t="str">
        <f>"MC4123"</f>
        <v>MC4123</v>
      </c>
      <c r="C12569" t="s">
        <v>12340</v>
      </c>
    </row>
    <row r="12570" spans="1:3" x14ac:dyDescent="0.25">
      <c r="A12570" t="str">
        <f>"0611835177100"</f>
        <v>0611835177100</v>
      </c>
      <c r="B12570" t="str">
        <f>"LC9481"</f>
        <v>LC9481</v>
      </c>
      <c r="C12570" t="s">
        <v>12336</v>
      </c>
    </row>
    <row r="12571" spans="1:3" x14ac:dyDescent="0.25">
      <c r="A12571" t="str">
        <f>"0611835178100"</f>
        <v>0611835178100</v>
      </c>
      <c r="B12571" t="str">
        <f>"LC3389"</f>
        <v>LC3389</v>
      </c>
      <c r="C12571" t="s">
        <v>12341</v>
      </c>
    </row>
    <row r="12572" spans="1:3" x14ac:dyDescent="0.25">
      <c r="A12572" t="str">
        <f>"0611835179025"</f>
        <v>0611835179025</v>
      </c>
      <c r="B12572" t="str">
        <f>"MC2588"</f>
        <v>MC2588</v>
      </c>
      <c r="C12572" t="s">
        <v>12342</v>
      </c>
    </row>
    <row r="12573" spans="1:3" x14ac:dyDescent="0.25">
      <c r="A12573" t="str">
        <f>"0611835180100"</f>
        <v>0611835180100</v>
      </c>
      <c r="B12573" t="str">
        <f>"LH8855"</f>
        <v>LH8855</v>
      </c>
      <c r="C12573" t="s">
        <v>12343</v>
      </c>
    </row>
    <row r="12574" spans="1:3" x14ac:dyDescent="0.25">
      <c r="A12574" t="str">
        <f>"0611835181100"</f>
        <v>0611835181100</v>
      </c>
      <c r="B12574" t="str">
        <f>"LC9509"</f>
        <v>LC9509</v>
      </c>
      <c r="C12574" t="s">
        <v>12344</v>
      </c>
    </row>
    <row r="12575" spans="1:3" x14ac:dyDescent="0.25">
      <c r="A12575" t="str">
        <f>"0611835182025"</f>
        <v>0611835182025</v>
      </c>
      <c r="B12575" t="str">
        <f>"MC1398"</f>
        <v>MC1398</v>
      </c>
      <c r="C12575" t="s">
        <v>12345</v>
      </c>
    </row>
    <row r="12576" spans="1:3" x14ac:dyDescent="0.25">
      <c r="A12576" t="str">
        <f>"0611835183025"</f>
        <v>0611835183025</v>
      </c>
      <c r="B12576" t="str">
        <f>"MC2232"</f>
        <v>MC2232</v>
      </c>
      <c r="C12576" t="s">
        <v>12346</v>
      </c>
    </row>
    <row r="12577" spans="1:3" x14ac:dyDescent="0.25">
      <c r="A12577" t="str">
        <f>"0611835184100"</f>
        <v>0611835184100</v>
      </c>
      <c r="B12577" t="str">
        <f>"LC9526"</f>
        <v>LC9526</v>
      </c>
      <c r="C12577" t="s">
        <v>12348</v>
      </c>
    </row>
    <row r="12578" spans="1:3" x14ac:dyDescent="0.25">
      <c r="A12578" t="str">
        <f>"0611862566100"</f>
        <v>0611862566100</v>
      </c>
      <c r="B12578" t="str">
        <f>"CN5407"</f>
        <v>CN5407</v>
      </c>
      <c r="C12578" t="s">
        <v>12347</v>
      </c>
    </row>
    <row r="12579" spans="1:3" x14ac:dyDescent="0.25">
      <c r="A12579" t="str">
        <f>"0611835185025"</f>
        <v>0611835185025</v>
      </c>
      <c r="B12579" t="str">
        <f>"MC2099"</f>
        <v>MC2099</v>
      </c>
      <c r="C12579" t="s">
        <v>12349</v>
      </c>
    </row>
    <row r="12580" spans="1:3" x14ac:dyDescent="0.25">
      <c r="A12580" t="str">
        <f>"0611856980025"</f>
        <v>0611856980025</v>
      </c>
      <c r="B12580" t="str">
        <f>"MC4000"</f>
        <v>MC4000</v>
      </c>
      <c r="C12580" t="s">
        <v>12350</v>
      </c>
    </row>
    <row r="12581" spans="1:3" x14ac:dyDescent="0.25">
      <c r="A12581" t="str">
        <f>"0611835187100"</f>
        <v>0611835187100</v>
      </c>
      <c r="B12581" t="str">
        <f>"LC9527"</f>
        <v>LC9527</v>
      </c>
      <c r="C12581" t="s">
        <v>13952</v>
      </c>
    </row>
    <row r="12582" spans="1:3" x14ac:dyDescent="0.25">
      <c r="A12582" t="str">
        <f>"0611862568100"</f>
        <v>0611862568100</v>
      </c>
      <c r="B12582" t="str">
        <f>"CN5405"</f>
        <v>CN5405</v>
      </c>
      <c r="C12582" t="s">
        <v>12351</v>
      </c>
    </row>
    <row r="12583" spans="1:3" x14ac:dyDescent="0.25">
      <c r="A12583" t="str">
        <f>"0611862569050"</f>
        <v>0611862569050</v>
      </c>
      <c r="B12583" t="str">
        <f>"CR4489"</f>
        <v>CR4489</v>
      </c>
      <c r="C12583" t="s">
        <v>12352</v>
      </c>
    </row>
    <row r="12584" spans="1:3" x14ac:dyDescent="0.25">
      <c r="A12584" t="str">
        <f>"0611884487025"</f>
        <v>0611884487025</v>
      </c>
      <c r="B12584" t="str">
        <f>"MC4510"</f>
        <v>MC4510</v>
      </c>
      <c r="C12584" t="s">
        <v>12353</v>
      </c>
    </row>
    <row r="12585" spans="1:3" x14ac:dyDescent="0.25">
      <c r="A12585" t="str">
        <f>"0611835188100"</f>
        <v>0611835188100</v>
      </c>
      <c r="B12585" t="str">
        <f>"LC9511"</f>
        <v>LC9511</v>
      </c>
      <c r="C12585" t="s">
        <v>12354</v>
      </c>
    </row>
    <row r="12586" spans="1:3" x14ac:dyDescent="0.25">
      <c r="A12586" t="str">
        <f>"0611835189100"</f>
        <v>0611835189100</v>
      </c>
      <c r="B12586" t="str">
        <f>"LC9626"</f>
        <v>LC9626</v>
      </c>
      <c r="C12586" t="s">
        <v>12355</v>
      </c>
    </row>
    <row r="12587" spans="1:3" x14ac:dyDescent="0.25">
      <c r="A12587" t="str">
        <f>"0611835190025"</f>
        <v>0611835190025</v>
      </c>
      <c r="B12587" t="str">
        <f>"MC1500"</f>
        <v>MC1500</v>
      </c>
      <c r="C12587" t="s">
        <v>12356</v>
      </c>
    </row>
    <row r="12588" spans="1:3" x14ac:dyDescent="0.25">
      <c r="A12588" t="str">
        <f>"0611862570100"</f>
        <v>0611862570100</v>
      </c>
      <c r="B12588" t="str">
        <f>"CN2392"</f>
        <v>CN2392</v>
      </c>
      <c r="C12588" t="s">
        <v>12357</v>
      </c>
    </row>
    <row r="12589" spans="1:3" x14ac:dyDescent="0.25">
      <c r="A12589" t="str">
        <f>"0611835191025"</f>
        <v>0611835191025</v>
      </c>
      <c r="B12589" t="str">
        <f>"MC2233"</f>
        <v>MC2233</v>
      </c>
      <c r="C12589" t="s">
        <v>12358</v>
      </c>
    </row>
    <row r="12590" spans="1:3" x14ac:dyDescent="0.25">
      <c r="A12590" t="str">
        <f>"0611835192100"</f>
        <v>0611835192100</v>
      </c>
      <c r="B12590" t="str">
        <f>"LC9483"</f>
        <v>LC9483</v>
      </c>
      <c r="C12590" t="s">
        <v>12359</v>
      </c>
    </row>
    <row r="12591" spans="1:3" x14ac:dyDescent="0.25">
      <c r="A12591" t="str">
        <f>"0611835193100"</f>
        <v>0611835193100</v>
      </c>
      <c r="B12591" t="str">
        <f>"LC3405"</f>
        <v>LC3405</v>
      </c>
      <c r="C12591" t="s">
        <v>12360</v>
      </c>
    </row>
    <row r="12592" spans="1:3" x14ac:dyDescent="0.25">
      <c r="A12592" t="str">
        <f>"0611835194025"</f>
        <v>0611835194025</v>
      </c>
      <c r="B12592" t="str">
        <f>"MC4344"</f>
        <v>MC4344</v>
      </c>
      <c r="C12592" t="s">
        <v>12361</v>
      </c>
    </row>
    <row r="12593" spans="1:3" x14ac:dyDescent="0.25">
      <c r="A12593" t="str">
        <f>"0611835198100"</f>
        <v>0611835198100</v>
      </c>
      <c r="B12593" t="str">
        <f>"LC9500"</f>
        <v>LC9500</v>
      </c>
      <c r="C12593" t="s">
        <v>12362</v>
      </c>
    </row>
    <row r="12594" spans="1:3" x14ac:dyDescent="0.25">
      <c r="A12594" t="str">
        <f>"0611835199025"</f>
        <v>0611835199025</v>
      </c>
      <c r="B12594" t="str">
        <f>"MC0822"</f>
        <v>MC0822</v>
      </c>
      <c r="C12594" t="s">
        <v>12363</v>
      </c>
    </row>
    <row r="12595" spans="1:3" x14ac:dyDescent="0.25">
      <c r="A12595" t="str">
        <f>"0611835200100"</f>
        <v>0611835200100</v>
      </c>
      <c r="B12595" t="str">
        <f>"LC9512"</f>
        <v>LC9512</v>
      </c>
      <c r="C12595" t="s">
        <v>12308</v>
      </c>
    </row>
    <row r="12596" spans="1:3" x14ac:dyDescent="0.25">
      <c r="A12596" t="str">
        <f>"0611835201100"</f>
        <v>0611835201100</v>
      </c>
      <c r="B12596" t="str">
        <f>"LC9513"</f>
        <v>LC9513</v>
      </c>
      <c r="C12596" t="s">
        <v>12364</v>
      </c>
    </row>
    <row r="12597" spans="1:3" x14ac:dyDescent="0.25">
      <c r="A12597" t="str">
        <f>"0611835202100"</f>
        <v>0611835202100</v>
      </c>
      <c r="B12597" t="str">
        <f>"LC9501"</f>
        <v>LC9501</v>
      </c>
      <c r="C12597" t="s">
        <v>12367</v>
      </c>
    </row>
    <row r="12598" spans="1:3" x14ac:dyDescent="0.25">
      <c r="A12598" t="str">
        <f>"0611906987100"</f>
        <v>0611906987100</v>
      </c>
      <c r="B12598" t="str">
        <f>"LC9501"</f>
        <v>LC9501</v>
      </c>
      <c r="C12598" t="s">
        <v>12367</v>
      </c>
    </row>
    <row r="12599" spans="1:3" x14ac:dyDescent="0.25">
      <c r="A12599" t="str">
        <f>"0611862567100"</f>
        <v>0611862567100</v>
      </c>
      <c r="B12599" t="str">
        <f>"CN5406"</f>
        <v>CN5406</v>
      </c>
      <c r="C12599" t="s">
        <v>12365</v>
      </c>
    </row>
    <row r="12600" spans="1:3" x14ac:dyDescent="0.25">
      <c r="A12600" t="str">
        <f>"0611835203025"</f>
        <v>0611835203025</v>
      </c>
      <c r="B12600" t="str">
        <f>"MC0716"</f>
        <v>MC0716</v>
      </c>
      <c r="C12600" t="s">
        <v>13953</v>
      </c>
    </row>
    <row r="12601" spans="1:3" x14ac:dyDescent="0.25">
      <c r="A12601" t="str">
        <f>"0611839783025"</f>
        <v>0611839783025</v>
      </c>
      <c r="B12601" t="str">
        <f>"MC0719"</f>
        <v>MC0719</v>
      </c>
      <c r="C12601" t="s">
        <v>12368</v>
      </c>
    </row>
    <row r="12602" spans="1:3" x14ac:dyDescent="0.25">
      <c r="A12602" t="str">
        <f>"0611839786100"</f>
        <v>0611839786100</v>
      </c>
      <c r="B12602" t="str">
        <f>"LG7490"</f>
        <v>LG7490</v>
      </c>
      <c r="C12602" t="s">
        <v>12369</v>
      </c>
    </row>
    <row r="12603" spans="1:3" x14ac:dyDescent="0.25">
      <c r="A12603" t="str">
        <f>"0611839787100"</f>
        <v>0611839787100</v>
      </c>
      <c r="B12603" t="str">
        <f>"LB9110"</f>
        <v>LB9110</v>
      </c>
      <c r="C12603" t="s">
        <v>12370</v>
      </c>
    </row>
    <row r="12604" spans="1:3" x14ac:dyDescent="0.25">
      <c r="A12604" t="str">
        <f>"0611839788100"</f>
        <v>0611839788100</v>
      </c>
      <c r="B12604" t="str">
        <f>"LB9111"</f>
        <v>LB9111</v>
      </c>
      <c r="C12604" t="s">
        <v>12371</v>
      </c>
    </row>
    <row r="12605" spans="1:3" x14ac:dyDescent="0.25">
      <c r="A12605" t="str">
        <f>"0611836346100"</f>
        <v>0611836346100</v>
      </c>
      <c r="B12605" t="str">
        <f>"LL4816"</f>
        <v>LL4816</v>
      </c>
      <c r="C12605" t="s">
        <v>12372</v>
      </c>
    </row>
    <row r="12606" spans="1:3" x14ac:dyDescent="0.25">
      <c r="A12606" t="str">
        <f>"0611836347100"</f>
        <v>0611836347100</v>
      </c>
      <c r="B12606" t="str">
        <f>"LL3880"</f>
        <v>LL3880</v>
      </c>
      <c r="C12606" t="s">
        <v>12373</v>
      </c>
    </row>
    <row r="12607" spans="1:3" x14ac:dyDescent="0.25">
      <c r="A12607" t="str">
        <f>"0611836348100"</f>
        <v>0611836348100</v>
      </c>
      <c r="B12607" t="str">
        <f>"LL3883"</f>
        <v>LL3883</v>
      </c>
      <c r="C12607" t="s">
        <v>12374</v>
      </c>
    </row>
    <row r="12608" spans="1:3" x14ac:dyDescent="0.25">
      <c r="A12608" t="str">
        <f>"0611836349100"</f>
        <v>0611836349100</v>
      </c>
      <c r="B12608" t="str">
        <f>"LL4022"</f>
        <v>LL4022</v>
      </c>
      <c r="C12608" t="s">
        <v>12375</v>
      </c>
    </row>
    <row r="12609" spans="1:3" x14ac:dyDescent="0.25">
      <c r="A12609" t="str">
        <f>"0611836351100"</f>
        <v>0611836351100</v>
      </c>
      <c r="B12609" t="str">
        <f>"LL3886"</f>
        <v>LL3886</v>
      </c>
      <c r="C12609" t="s">
        <v>12376</v>
      </c>
    </row>
    <row r="12610" spans="1:3" x14ac:dyDescent="0.25">
      <c r="A12610" t="str">
        <f>"0611836352100"</f>
        <v>0611836352100</v>
      </c>
      <c r="B12610" t="str">
        <f>"LL0048"</f>
        <v>LL0048</v>
      </c>
      <c r="C12610" t="s">
        <v>12377</v>
      </c>
    </row>
    <row r="12611" spans="1:3" x14ac:dyDescent="0.25">
      <c r="A12611" t="str">
        <f>"0611836353100"</f>
        <v>0611836353100</v>
      </c>
      <c r="B12611" t="str">
        <f>"LL3888"</f>
        <v>LL3888</v>
      </c>
      <c r="C12611" t="s">
        <v>12378</v>
      </c>
    </row>
    <row r="12612" spans="1:3" x14ac:dyDescent="0.25">
      <c r="A12612" t="str">
        <f>"0611836354100"</f>
        <v>0611836354100</v>
      </c>
      <c r="B12612" t="str">
        <f>"LL0070"</f>
        <v>LL0070</v>
      </c>
      <c r="C12612" t="s">
        <v>12379</v>
      </c>
    </row>
    <row r="12613" spans="1:3" x14ac:dyDescent="0.25">
      <c r="A12613" t="str">
        <f>"0611836355100"</f>
        <v>0611836355100</v>
      </c>
      <c r="B12613" t="str">
        <f>"LL3935"</f>
        <v>LL3935</v>
      </c>
      <c r="C12613" t="s">
        <v>12380</v>
      </c>
    </row>
    <row r="12614" spans="1:3" x14ac:dyDescent="0.25">
      <c r="A12614" t="str">
        <f>"0611836357100"</f>
        <v>0611836357100</v>
      </c>
      <c r="B12614" t="str">
        <f>"LL3942"</f>
        <v>LL3942</v>
      </c>
      <c r="C12614" t="s">
        <v>12381</v>
      </c>
    </row>
    <row r="12615" spans="1:3" x14ac:dyDescent="0.25">
      <c r="A12615" t="str">
        <f>"0611836358200"</f>
        <v>0611836358200</v>
      </c>
      <c r="B12615" t="str">
        <f>"KY3942"</f>
        <v>KY3942</v>
      </c>
      <c r="C12615" t="s">
        <v>12382</v>
      </c>
    </row>
    <row r="12616" spans="1:3" x14ac:dyDescent="0.25">
      <c r="A12616" t="str">
        <f>"0611836359100"</f>
        <v>0611836359100</v>
      </c>
      <c r="B12616" t="str">
        <f>"LL3946"</f>
        <v>LL3946</v>
      </c>
      <c r="C12616" t="s">
        <v>12383</v>
      </c>
    </row>
    <row r="12617" spans="1:3" x14ac:dyDescent="0.25">
      <c r="A12617" t="str">
        <f>"0611836360200"</f>
        <v>0611836360200</v>
      </c>
      <c r="B12617" t="str">
        <f>"KY3946"</f>
        <v>KY3946</v>
      </c>
      <c r="C12617" t="s">
        <v>12384</v>
      </c>
    </row>
    <row r="12618" spans="1:3" x14ac:dyDescent="0.25">
      <c r="A12618" t="str">
        <f>"0611836361100"</f>
        <v>0611836361100</v>
      </c>
      <c r="B12618" t="str">
        <f>"LL4013"</f>
        <v>LL4013</v>
      </c>
      <c r="C12618" t="s">
        <v>12385</v>
      </c>
    </row>
    <row r="12619" spans="1:3" x14ac:dyDescent="0.25">
      <c r="A12619" t="str">
        <f>"0611836362100"</f>
        <v>0611836362100</v>
      </c>
      <c r="B12619" t="str">
        <f>"LL4023"</f>
        <v>LL4023</v>
      </c>
      <c r="C12619" t="s">
        <v>12386</v>
      </c>
    </row>
    <row r="12620" spans="1:3" x14ac:dyDescent="0.25">
      <c r="A12620" t="str">
        <f>"0611836363100"</f>
        <v>0611836363100</v>
      </c>
      <c r="B12620" t="str">
        <f>"LL0190"</f>
        <v>LL0190</v>
      </c>
      <c r="C12620" t="s">
        <v>12387</v>
      </c>
    </row>
    <row r="12621" spans="1:3" x14ac:dyDescent="0.25">
      <c r="A12621" t="str">
        <f>"0611836364100"</f>
        <v>0611836364100</v>
      </c>
      <c r="B12621" t="str">
        <f>"LL3966"</f>
        <v>LL3966</v>
      </c>
      <c r="C12621" t="s">
        <v>12389</v>
      </c>
    </row>
    <row r="12622" spans="1:3" x14ac:dyDescent="0.25">
      <c r="A12622" t="str">
        <f>"0611836366100"</f>
        <v>0611836366100</v>
      </c>
      <c r="B12622" t="str">
        <f>"LL3957"</f>
        <v>LL3957</v>
      </c>
      <c r="C12622" t="s">
        <v>12390</v>
      </c>
    </row>
    <row r="12623" spans="1:3" x14ac:dyDescent="0.25">
      <c r="A12623" t="str">
        <f>"0611836367200"</f>
        <v>0611836367200</v>
      </c>
      <c r="B12623" t="str">
        <f>"KY3957"</f>
        <v>KY3957</v>
      </c>
      <c r="C12623" t="s">
        <v>12391</v>
      </c>
    </row>
    <row r="12624" spans="1:3" x14ac:dyDescent="0.25">
      <c r="A12624" t="str">
        <f>"0611857151100"</f>
        <v>0611857151100</v>
      </c>
      <c r="B12624" t="str">
        <f>"LL5046"</f>
        <v>LL5046</v>
      </c>
      <c r="C12624" t="s">
        <v>12392</v>
      </c>
    </row>
    <row r="12625" spans="1:3" x14ac:dyDescent="0.25">
      <c r="A12625" t="str">
        <f>"0611836368100"</f>
        <v>0611836368100</v>
      </c>
      <c r="B12625" t="str">
        <f>"LL3956"</f>
        <v>LL3956</v>
      </c>
      <c r="C12625" t="s">
        <v>12393</v>
      </c>
    </row>
    <row r="12626" spans="1:3" x14ac:dyDescent="0.25">
      <c r="A12626" t="str">
        <f>"0611836369100"</f>
        <v>0611836369100</v>
      </c>
      <c r="B12626" t="str">
        <f>"LL3958"</f>
        <v>LL3958</v>
      </c>
      <c r="C12626" t="s">
        <v>12394</v>
      </c>
    </row>
    <row r="12627" spans="1:3" x14ac:dyDescent="0.25">
      <c r="A12627" t="str">
        <f>"0611836370100"</f>
        <v>0611836370100</v>
      </c>
      <c r="B12627" t="str">
        <f>"LL3963"</f>
        <v>LL3963</v>
      </c>
      <c r="C12627" t="s">
        <v>12395</v>
      </c>
    </row>
    <row r="12628" spans="1:3" x14ac:dyDescent="0.25">
      <c r="A12628" t="str">
        <f>"0611857152100"</f>
        <v>0611857152100</v>
      </c>
      <c r="B12628" t="str">
        <f>"LL5047"</f>
        <v>LL5047</v>
      </c>
      <c r="C12628" t="s">
        <v>12396</v>
      </c>
    </row>
    <row r="12629" spans="1:3" x14ac:dyDescent="0.25">
      <c r="A12629" t="str">
        <f>"0611836372100"</f>
        <v>0611836372100</v>
      </c>
      <c r="B12629" t="str">
        <f>"LL3959"</f>
        <v>LL3959</v>
      </c>
      <c r="C12629" t="s">
        <v>12397</v>
      </c>
    </row>
    <row r="12630" spans="1:3" x14ac:dyDescent="0.25">
      <c r="A12630" t="str">
        <f>"0611839789100"</f>
        <v>0611839789100</v>
      </c>
      <c r="B12630" t="str">
        <f>"LL8129"</f>
        <v>LL8129</v>
      </c>
      <c r="C12630" t="s">
        <v>12398</v>
      </c>
    </row>
    <row r="12631" spans="1:3" x14ac:dyDescent="0.25">
      <c r="A12631" t="str">
        <f>"0611836373100"</f>
        <v>0611836373100</v>
      </c>
      <c r="B12631" t="str">
        <f>"LL5022"</f>
        <v>LL5022</v>
      </c>
      <c r="C12631" t="s">
        <v>12399</v>
      </c>
    </row>
    <row r="12632" spans="1:3" x14ac:dyDescent="0.25">
      <c r="A12632" t="str">
        <f>"0611836374100"</f>
        <v>0611836374100</v>
      </c>
      <c r="B12632" t="str">
        <f>"LL5023"</f>
        <v>LL5023</v>
      </c>
      <c r="C12632" t="s">
        <v>12400</v>
      </c>
    </row>
    <row r="12633" spans="1:3" x14ac:dyDescent="0.25">
      <c r="A12633" t="str">
        <f>"0611836376100"</f>
        <v>0611836376100</v>
      </c>
      <c r="B12633" t="str">
        <f>"LL4065"</f>
        <v>LL4065</v>
      </c>
      <c r="C12633" t="s">
        <v>12401</v>
      </c>
    </row>
    <row r="12634" spans="1:3" x14ac:dyDescent="0.25">
      <c r="A12634" t="str">
        <f>"0611836377100"</f>
        <v>0611836377100</v>
      </c>
      <c r="B12634" t="str">
        <f>"LL8091"</f>
        <v>LL8091</v>
      </c>
      <c r="C12634" t="s">
        <v>12402</v>
      </c>
    </row>
    <row r="12635" spans="1:3" x14ac:dyDescent="0.25">
      <c r="A12635" t="str">
        <f>"0611836378100"</f>
        <v>0611836378100</v>
      </c>
      <c r="B12635" t="str">
        <f>"LL8063"</f>
        <v>LL8063</v>
      </c>
      <c r="C12635" t="s">
        <v>12403</v>
      </c>
    </row>
    <row r="12636" spans="1:3" x14ac:dyDescent="0.25">
      <c r="A12636" t="str">
        <f>"0611836379100"</f>
        <v>0611836379100</v>
      </c>
      <c r="B12636" t="str">
        <f>"LL4054"</f>
        <v>LL4054</v>
      </c>
      <c r="C12636" t="s">
        <v>12404</v>
      </c>
    </row>
    <row r="12637" spans="1:3" x14ac:dyDescent="0.25">
      <c r="A12637" t="str">
        <f>"0611836380100"</f>
        <v>0611836380100</v>
      </c>
      <c r="B12637" t="str">
        <f>"LL5024"</f>
        <v>LL5024</v>
      </c>
      <c r="C12637" t="s">
        <v>12405</v>
      </c>
    </row>
    <row r="12638" spans="1:3" x14ac:dyDescent="0.25">
      <c r="A12638" t="str">
        <f>"0611857153100"</f>
        <v>0611857153100</v>
      </c>
      <c r="B12638" t="str">
        <f>"LL5059"</f>
        <v>LL5059</v>
      </c>
      <c r="C12638" t="s">
        <v>12406</v>
      </c>
    </row>
    <row r="12639" spans="1:3" x14ac:dyDescent="0.25">
      <c r="A12639" t="str">
        <f>"0611836381100"</f>
        <v>0611836381100</v>
      </c>
      <c r="B12639" t="str">
        <f>"LL8059"</f>
        <v>LL8059</v>
      </c>
      <c r="C12639" t="s">
        <v>12407</v>
      </c>
    </row>
    <row r="12640" spans="1:3" x14ac:dyDescent="0.25">
      <c r="A12640" t="str">
        <f>"0611836382100"</f>
        <v>0611836382100</v>
      </c>
      <c r="B12640" t="str">
        <f>"LL3964"</f>
        <v>LL3964</v>
      </c>
      <c r="C12640" t="s">
        <v>12408</v>
      </c>
    </row>
    <row r="12641" spans="1:3" x14ac:dyDescent="0.25">
      <c r="A12641" t="str">
        <f>"0611836383100"</f>
        <v>0611836383100</v>
      </c>
      <c r="B12641" t="str">
        <f>"LL4066"</f>
        <v>LL4066</v>
      </c>
      <c r="C12641" t="s">
        <v>12409</v>
      </c>
    </row>
    <row r="12642" spans="1:3" x14ac:dyDescent="0.25">
      <c r="A12642" t="str">
        <f>"0611836384100"</f>
        <v>0611836384100</v>
      </c>
      <c r="B12642" t="str">
        <f>"LL3975"</f>
        <v>LL3975</v>
      </c>
      <c r="C12642" t="s">
        <v>12410</v>
      </c>
    </row>
    <row r="12643" spans="1:3" x14ac:dyDescent="0.25">
      <c r="A12643" t="str">
        <f>"0611839790100"</f>
        <v>0611839790100</v>
      </c>
      <c r="B12643" t="str">
        <f>"LL3900"</f>
        <v>LL3900</v>
      </c>
      <c r="C12643" t="s">
        <v>12411</v>
      </c>
    </row>
    <row r="12644" spans="1:3" x14ac:dyDescent="0.25">
      <c r="A12644" t="str">
        <f>"0611836385100"</f>
        <v>0611836385100</v>
      </c>
      <c r="B12644" t="str">
        <f>"LL0071"</f>
        <v>LL0071</v>
      </c>
      <c r="C12644" t="s">
        <v>12412</v>
      </c>
    </row>
    <row r="12645" spans="1:3" x14ac:dyDescent="0.25">
      <c r="A12645" t="str">
        <f>"0611836386100"</f>
        <v>0611836386100</v>
      </c>
      <c r="B12645" t="str">
        <f>"LL8246"</f>
        <v>LL8246</v>
      </c>
      <c r="C12645" t="s">
        <v>12414</v>
      </c>
    </row>
    <row r="12646" spans="1:3" x14ac:dyDescent="0.25">
      <c r="A12646" t="str">
        <f>"0611836387100"</f>
        <v>0611836387100</v>
      </c>
      <c r="B12646" t="str">
        <f>"LL0010"</f>
        <v>LL0010</v>
      </c>
      <c r="C12646" t="s">
        <v>12413</v>
      </c>
    </row>
    <row r="12647" spans="1:3" x14ac:dyDescent="0.25">
      <c r="A12647" t="str">
        <f>"0611836388100"</f>
        <v>0611836388100</v>
      </c>
      <c r="B12647" t="str">
        <f>"LL4033"</f>
        <v>LL4033</v>
      </c>
      <c r="C12647" t="s">
        <v>12415</v>
      </c>
    </row>
    <row r="12648" spans="1:3" x14ac:dyDescent="0.25">
      <c r="A12648" t="str">
        <f>"0611839791100"</f>
        <v>0611839791100</v>
      </c>
      <c r="B12648" t="str">
        <f>"LL8323"</f>
        <v>LL8323</v>
      </c>
      <c r="C12648" t="s">
        <v>12416</v>
      </c>
    </row>
    <row r="12649" spans="1:3" x14ac:dyDescent="0.25">
      <c r="A12649" t="str">
        <f>"0611836390100"</f>
        <v>0611836390100</v>
      </c>
      <c r="B12649" t="str">
        <f>"LL0191"</f>
        <v>LL0191</v>
      </c>
      <c r="C12649" t="s">
        <v>12417</v>
      </c>
    </row>
    <row r="12650" spans="1:3" x14ac:dyDescent="0.25">
      <c r="A12650" t="str">
        <f>"0611836391100"</f>
        <v>0611836391100</v>
      </c>
      <c r="B12650" t="str">
        <f>"LL5025"</f>
        <v>LL5025</v>
      </c>
      <c r="C12650" t="s">
        <v>12418</v>
      </c>
    </row>
    <row r="12651" spans="1:3" x14ac:dyDescent="0.25">
      <c r="A12651" t="str">
        <f>"0611836392100"</f>
        <v>0611836392100</v>
      </c>
      <c r="B12651" t="str">
        <f>"LL3983"</f>
        <v>LL3983</v>
      </c>
      <c r="C12651" t="s">
        <v>12419</v>
      </c>
    </row>
    <row r="12652" spans="1:3" x14ac:dyDescent="0.25">
      <c r="A12652" t="str">
        <f>"0611836393200"</f>
        <v>0611836393200</v>
      </c>
      <c r="B12652" t="str">
        <f>"KY3983"</f>
        <v>KY3983</v>
      </c>
      <c r="C12652" t="s">
        <v>12420</v>
      </c>
    </row>
    <row r="12653" spans="1:3" x14ac:dyDescent="0.25">
      <c r="A12653" t="str">
        <f>"0611836394100"</f>
        <v>0611836394100</v>
      </c>
      <c r="B12653" t="str">
        <f>"LL3985"</f>
        <v>LL3985</v>
      </c>
      <c r="C12653" t="s">
        <v>12421</v>
      </c>
    </row>
    <row r="12654" spans="1:3" x14ac:dyDescent="0.25">
      <c r="A12654" t="str">
        <f>"0611836395100"</f>
        <v>0611836395100</v>
      </c>
      <c r="B12654" t="str">
        <f>"LL3989"</f>
        <v>LL3989</v>
      </c>
      <c r="C12654" t="s">
        <v>12422</v>
      </c>
    </row>
    <row r="12655" spans="1:3" x14ac:dyDescent="0.25">
      <c r="A12655" t="str">
        <f>"0611836396200"</f>
        <v>0611836396200</v>
      </c>
      <c r="B12655" t="str">
        <f>"KY3999"</f>
        <v>KY3999</v>
      </c>
      <c r="C12655" t="s">
        <v>12423</v>
      </c>
    </row>
    <row r="12656" spans="1:3" x14ac:dyDescent="0.25">
      <c r="A12656" t="str">
        <f>"0611836398100"</f>
        <v>0611836398100</v>
      </c>
      <c r="B12656" t="str">
        <f>"LL3939"</f>
        <v>LL3939</v>
      </c>
      <c r="C12656" t="s">
        <v>12424</v>
      </c>
    </row>
    <row r="12657" spans="1:3" x14ac:dyDescent="0.25">
      <c r="A12657" t="str">
        <f>"0611836399100"</f>
        <v>0611836399100</v>
      </c>
      <c r="B12657" t="str">
        <f>"LL4034"</f>
        <v>LL4034</v>
      </c>
      <c r="C12657" t="s">
        <v>12425</v>
      </c>
    </row>
    <row r="12658" spans="1:3" x14ac:dyDescent="0.25">
      <c r="A12658" t="str">
        <f>"0611836400100"</f>
        <v>0611836400100</v>
      </c>
      <c r="B12658" t="str">
        <f>"LL4861"</f>
        <v>LL4861</v>
      </c>
      <c r="C12658" t="s">
        <v>12426</v>
      </c>
    </row>
    <row r="12659" spans="1:3" x14ac:dyDescent="0.25">
      <c r="A12659" t="str">
        <f>"0611836401100"</f>
        <v>0611836401100</v>
      </c>
      <c r="B12659" t="str">
        <f>"LL3913"</f>
        <v>LL3913</v>
      </c>
      <c r="C12659" t="s">
        <v>12427</v>
      </c>
    </row>
    <row r="12660" spans="1:3" x14ac:dyDescent="0.25">
      <c r="A12660" t="str">
        <f>"0611836402100"</f>
        <v>0611836402100</v>
      </c>
      <c r="B12660" t="str">
        <f>"LL4029"</f>
        <v>LL4029</v>
      </c>
      <c r="C12660" t="s">
        <v>12428</v>
      </c>
    </row>
    <row r="12661" spans="1:3" x14ac:dyDescent="0.25">
      <c r="A12661" t="str">
        <f>"0611836403100"</f>
        <v>0611836403100</v>
      </c>
      <c r="B12661" t="str">
        <f>"LL8299"</f>
        <v>LL8299</v>
      </c>
      <c r="C12661" t="s">
        <v>12429</v>
      </c>
    </row>
    <row r="12662" spans="1:3" x14ac:dyDescent="0.25">
      <c r="A12662" t="str">
        <f>"0611836404100"</f>
        <v>0611836404100</v>
      </c>
      <c r="B12662" t="str">
        <f>"LL8247"</f>
        <v>LL8247</v>
      </c>
      <c r="C12662" t="s">
        <v>12430</v>
      </c>
    </row>
    <row r="12663" spans="1:3" x14ac:dyDescent="0.25">
      <c r="A12663" t="str">
        <f>"0611836405100"</f>
        <v>0611836405100</v>
      </c>
      <c r="B12663" t="str">
        <f>"LL3926"</f>
        <v>LL3926</v>
      </c>
      <c r="C12663" t="s">
        <v>12431</v>
      </c>
    </row>
    <row r="12664" spans="1:3" x14ac:dyDescent="0.25">
      <c r="A12664" t="str">
        <f>"0611836406100"</f>
        <v>0611836406100</v>
      </c>
      <c r="B12664" t="str">
        <f>"LL3927"</f>
        <v>LL3927</v>
      </c>
      <c r="C12664" t="s">
        <v>12432</v>
      </c>
    </row>
    <row r="12665" spans="1:3" x14ac:dyDescent="0.25">
      <c r="A12665" t="str">
        <f>"0611836407100"</f>
        <v>0611836407100</v>
      </c>
      <c r="B12665" t="str">
        <f>"LL0072"</f>
        <v>LL0072</v>
      </c>
      <c r="C12665" t="s">
        <v>12433</v>
      </c>
    </row>
    <row r="12666" spans="1:3" x14ac:dyDescent="0.25">
      <c r="A12666" t="str">
        <f>"0611836408100"</f>
        <v>0611836408100</v>
      </c>
      <c r="B12666" t="str">
        <f>"LL4032"</f>
        <v>LL4032</v>
      </c>
      <c r="C12666" t="s">
        <v>12434</v>
      </c>
    </row>
    <row r="12667" spans="1:3" x14ac:dyDescent="0.25">
      <c r="A12667" t="str">
        <f>"0611836409200"</f>
        <v>0611836409200</v>
      </c>
      <c r="B12667" t="str">
        <f>"KY4032"</f>
        <v>KY4032</v>
      </c>
      <c r="C12667" t="s">
        <v>12435</v>
      </c>
    </row>
    <row r="12668" spans="1:3" x14ac:dyDescent="0.25">
      <c r="A12668" t="str">
        <f>"0611857154100"</f>
        <v>0611857154100</v>
      </c>
      <c r="B12668" t="str">
        <f>"LL5048"</f>
        <v>LL5048</v>
      </c>
      <c r="C12668" t="s">
        <v>12436</v>
      </c>
    </row>
    <row r="12669" spans="1:3" x14ac:dyDescent="0.25">
      <c r="A12669" t="str">
        <f>"0611836410100"</f>
        <v>0611836410100</v>
      </c>
      <c r="B12669" t="str">
        <f>"LL0096"</f>
        <v>LL0096</v>
      </c>
      <c r="C12669" t="s">
        <v>12437</v>
      </c>
    </row>
    <row r="12670" spans="1:3" x14ac:dyDescent="0.25">
      <c r="A12670" t="str">
        <f>"0611836411100"</f>
        <v>0611836411100</v>
      </c>
      <c r="B12670" t="str">
        <f>"LL4035"</f>
        <v>LL4035</v>
      </c>
      <c r="C12670" t="s">
        <v>12438</v>
      </c>
    </row>
    <row r="12671" spans="1:3" x14ac:dyDescent="0.25">
      <c r="A12671" t="str">
        <f>"0611836412100"</f>
        <v>0611836412100</v>
      </c>
      <c r="B12671" t="str">
        <f>"LL0192"</f>
        <v>LL0192</v>
      </c>
      <c r="C12671" t="s">
        <v>12439</v>
      </c>
    </row>
    <row r="12672" spans="1:3" x14ac:dyDescent="0.25">
      <c r="A12672" t="str">
        <f>"0611836413100"</f>
        <v>0611836413100</v>
      </c>
      <c r="B12672" t="str">
        <f>"LL0051"</f>
        <v>LL0051</v>
      </c>
      <c r="C12672" t="s">
        <v>12440</v>
      </c>
    </row>
    <row r="12673" spans="1:3" x14ac:dyDescent="0.25">
      <c r="A12673" t="str">
        <f>"0611836414100"</f>
        <v>0611836414100</v>
      </c>
      <c r="B12673" t="str">
        <f>"LL8300"</f>
        <v>LL8300</v>
      </c>
      <c r="C12673" t="s">
        <v>12441</v>
      </c>
    </row>
    <row r="12674" spans="1:3" x14ac:dyDescent="0.25">
      <c r="A12674" t="str">
        <f>"0611836415100"</f>
        <v>0611836415100</v>
      </c>
      <c r="B12674" t="str">
        <f>"LL8121"</f>
        <v>LL8121</v>
      </c>
      <c r="C12674" t="s">
        <v>12442</v>
      </c>
    </row>
    <row r="12675" spans="1:3" x14ac:dyDescent="0.25">
      <c r="A12675" t="str">
        <f>"0611836416100"</f>
        <v>0611836416100</v>
      </c>
      <c r="B12675" t="str">
        <f>"LL8248"</f>
        <v>LL8248</v>
      </c>
      <c r="C12675" t="s">
        <v>12443</v>
      </c>
    </row>
    <row r="12676" spans="1:3" x14ac:dyDescent="0.25">
      <c r="A12676" t="str">
        <f>"0611836417100"</f>
        <v>0611836417100</v>
      </c>
      <c r="B12676" t="str">
        <f>"LL4878"</f>
        <v>LL4878</v>
      </c>
      <c r="C12676" t="s">
        <v>12444</v>
      </c>
    </row>
    <row r="12677" spans="1:3" x14ac:dyDescent="0.25">
      <c r="A12677" t="str">
        <f>"0611836418100"</f>
        <v>0611836418100</v>
      </c>
      <c r="B12677" t="str">
        <f>"LL8333"</f>
        <v>LL8333</v>
      </c>
      <c r="C12677" t="s">
        <v>12445</v>
      </c>
    </row>
    <row r="12678" spans="1:3" x14ac:dyDescent="0.25">
      <c r="A12678" t="str">
        <f>"0611839792100"</f>
        <v>0611839792100</v>
      </c>
      <c r="B12678" t="str">
        <f>"LL8249"</f>
        <v>LL8249</v>
      </c>
      <c r="C12678" t="s">
        <v>12446</v>
      </c>
    </row>
    <row r="12679" spans="1:3" x14ac:dyDescent="0.25">
      <c r="A12679" t="str">
        <f>"0611836419100"</f>
        <v>0611836419100</v>
      </c>
      <c r="B12679" t="str">
        <f>"LL4002"</f>
        <v>LL4002</v>
      </c>
      <c r="C12679" t="s">
        <v>12447</v>
      </c>
    </row>
    <row r="12680" spans="1:3" x14ac:dyDescent="0.25">
      <c r="A12680" t="str">
        <f>"0611836420100"</f>
        <v>0611836420100</v>
      </c>
      <c r="B12680" t="str">
        <f>"LL8324"</f>
        <v>LL8324</v>
      </c>
      <c r="C12680" t="s">
        <v>12448</v>
      </c>
    </row>
    <row r="12681" spans="1:3" x14ac:dyDescent="0.25">
      <c r="A12681" t="str">
        <f>"0611836421100"</f>
        <v>0611836421100</v>
      </c>
      <c r="B12681" t="str">
        <f>"LL4036"</f>
        <v>LL4036</v>
      </c>
      <c r="C12681" t="s">
        <v>12449</v>
      </c>
    </row>
    <row r="12682" spans="1:3" x14ac:dyDescent="0.25">
      <c r="A12682" t="str">
        <f>"0611836422100"</f>
        <v>0611836422100</v>
      </c>
      <c r="B12682" t="str">
        <f>"LL8250"</f>
        <v>LL8250</v>
      </c>
      <c r="C12682" t="s">
        <v>12450</v>
      </c>
    </row>
    <row r="12683" spans="1:3" x14ac:dyDescent="0.25">
      <c r="A12683" t="str">
        <f>"0611836423100"</f>
        <v>0611836423100</v>
      </c>
      <c r="B12683" t="str">
        <f>"LL4535"</f>
        <v>LL4535</v>
      </c>
      <c r="C12683" t="s">
        <v>12451</v>
      </c>
    </row>
    <row r="12684" spans="1:3" x14ac:dyDescent="0.25">
      <c r="A12684" t="str">
        <f>"0611836424100"</f>
        <v>0611836424100</v>
      </c>
      <c r="B12684" t="str">
        <f>"LL4536"</f>
        <v>LL4536</v>
      </c>
      <c r="C12684" t="s">
        <v>12452</v>
      </c>
    </row>
    <row r="12685" spans="1:3" x14ac:dyDescent="0.25">
      <c r="A12685" t="str">
        <f>"0611836425200"</f>
        <v>0611836425200</v>
      </c>
      <c r="B12685" t="str">
        <f>"KY4536"</f>
        <v>KY4536</v>
      </c>
      <c r="C12685" t="s">
        <v>12453</v>
      </c>
    </row>
    <row r="12686" spans="1:3" x14ac:dyDescent="0.25">
      <c r="A12686" t="str">
        <f>"0611836426100"</f>
        <v>0611836426100</v>
      </c>
      <c r="B12686" t="str">
        <f>"LL4537"</f>
        <v>LL4537</v>
      </c>
      <c r="C12686" t="s">
        <v>12454</v>
      </c>
    </row>
    <row r="12687" spans="1:3" x14ac:dyDescent="0.25">
      <c r="A12687" t="str">
        <f>"0611836427100"</f>
        <v>0611836427100</v>
      </c>
      <c r="B12687" t="str">
        <f>"LL3928"</f>
        <v>LL3928</v>
      </c>
      <c r="C12687" t="s">
        <v>12455</v>
      </c>
    </row>
    <row r="12688" spans="1:3" x14ac:dyDescent="0.25">
      <c r="A12688" t="str">
        <f>"0611836428100"</f>
        <v>0611836428100</v>
      </c>
      <c r="B12688" t="str">
        <f>"LL4028"</f>
        <v>LL4028</v>
      </c>
      <c r="C12688" t="s">
        <v>12456</v>
      </c>
    </row>
    <row r="12689" spans="1:3" x14ac:dyDescent="0.25">
      <c r="A12689" t="str">
        <f>"0611836429100"</f>
        <v>0611836429100</v>
      </c>
      <c r="B12689" t="str">
        <f>"LL0073"</f>
        <v>LL0073</v>
      </c>
      <c r="C12689" t="s">
        <v>12457</v>
      </c>
    </row>
    <row r="12690" spans="1:3" x14ac:dyDescent="0.25">
      <c r="A12690" t="str">
        <f>"0611836430100"</f>
        <v>0611836430100</v>
      </c>
      <c r="B12690" t="str">
        <f>"LL8251"</f>
        <v>LL8251</v>
      </c>
      <c r="C12690" t="s">
        <v>12458</v>
      </c>
    </row>
    <row r="12691" spans="1:3" x14ac:dyDescent="0.25">
      <c r="A12691" t="str">
        <f>"0611836431100"</f>
        <v>0611836431100</v>
      </c>
      <c r="B12691" t="str">
        <f>"LL4025"</f>
        <v>LL4025</v>
      </c>
      <c r="C12691" t="s">
        <v>12459</v>
      </c>
    </row>
    <row r="12692" spans="1:3" x14ac:dyDescent="0.25">
      <c r="A12692" t="str">
        <f>"0611836432100"</f>
        <v>0611836432100</v>
      </c>
      <c r="B12692" t="str">
        <f>"LL0194"</f>
        <v>LL0194</v>
      </c>
      <c r="C12692" t="s">
        <v>12460</v>
      </c>
    </row>
    <row r="12693" spans="1:3" x14ac:dyDescent="0.25">
      <c r="A12693" t="str">
        <f>"0611836433100"</f>
        <v>0611836433100</v>
      </c>
      <c r="B12693" t="str">
        <f>"LL4038"</f>
        <v>LL4038</v>
      </c>
      <c r="C12693" t="s">
        <v>12461</v>
      </c>
    </row>
    <row r="12694" spans="1:3" x14ac:dyDescent="0.25">
      <c r="A12694" t="str">
        <f>"0611836434100"</f>
        <v>0611836434100</v>
      </c>
      <c r="B12694" t="str">
        <f>"LL0195"</f>
        <v>LL0195</v>
      </c>
      <c r="C12694" t="s">
        <v>12462</v>
      </c>
    </row>
    <row r="12695" spans="1:3" x14ac:dyDescent="0.25">
      <c r="A12695" t="str">
        <f>"0611836436100"</f>
        <v>0611836436100</v>
      </c>
      <c r="B12695" t="str">
        <f>"LL3890"</f>
        <v>LL3890</v>
      </c>
      <c r="C12695" t="s">
        <v>12463</v>
      </c>
    </row>
    <row r="12696" spans="1:3" x14ac:dyDescent="0.25">
      <c r="A12696" t="str">
        <f>"0611836437100"</f>
        <v>0611836437100</v>
      </c>
      <c r="B12696" t="str">
        <f>"LL3967"</f>
        <v>LL3967</v>
      </c>
      <c r="C12696" t="s">
        <v>12464</v>
      </c>
    </row>
    <row r="12697" spans="1:3" x14ac:dyDescent="0.25">
      <c r="A12697" t="str">
        <f>"0611836438100"</f>
        <v>0611836438100</v>
      </c>
      <c r="B12697" t="str">
        <f>"LL4056"</f>
        <v>LL4056</v>
      </c>
      <c r="C12697" t="s">
        <v>12465</v>
      </c>
    </row>
    <row r="12698" spans="1:3" x14ac:dyDescent="0.25">
      <c r="A12698" t="str">
        <f>"0611836439100"</f>
        <v>0611836439100</v>
      </c>
      <c r="B12698" t="str">
        <f>"LL8252"</f>
        <v>LL8252</v>
      </c>
      <c r="C12698" t="s">
        <v>12466</v>
      </c>
    </row>
    <row r="12699" spans="1:3" x14ac:dyDescent="0.25">
      <c r="A12699" t="str">
        <f>"0611836440100"</f>
        <v>0611836440100</v>
      </c>
      <c r="B12699" t="str">
        <f>"LL4063"</f>
        <v>LL4063</v>
      </c>
      <c r="C12699" t="s">
        <v>12467</v>
      </c>
    </row>
    <row r="12700" spans="1:3" x14ac:dyDescent="0.25">
      <c r="A12700" t="str">
        <f>"0611836441200"</f>
        <v>0611836441200</v>
      </c>
      <c r="B12700" t="str">
        <f>"KY4063"</f>
        <v>KY4063</v>
      </c>
      <c r="C12700" t="s">
        <v>12468</v>
      </c>
    </row>
    <row r="12701" spans="1:3" x14ac:dyDescent="0.25">
      <c r="A12701" t="str">
        <f>"0611884303100"</f>
        <v>0611884303100</v>
      </c>
      <c r="B12701" t="str">
        <f>"LL5067"</f>
        <v>LL5067</v>
      </c>
      <c r="C12701" t="s">
        <v>7752</v>
      </c>
    </row>
    <row r="12702" spans="1:3" x14ac:dyDescent="0.25">
      <c r="A12702" t="str">
        <f>"0611836442100"</f>
        <v>0611836442100</v>
      </c>
      <c r="B12702" t="str">
        <f>"LL3937"</f>
        <v>LL3937</v>
      </c>
      <c r="C12702" t="s">
        <v>12469</v>
      </c>
    </row>
    <row r="12703" spans="1:3" x14ac:dyDescent="0.25">
      <c r="A12703" t="str">
        <f>"0611836443100"</f>
        <v>0611836443100</v>
      </c>
      <c r="B12703" t="str">
        <f>"LL0074"</f>
        <v>LL0074</v>
      </c>
      <c r="C12703" t="s">
        <v>12470</v>
      </c>
    </row>
    <row r="12704" spans="1:3" x14ac:dyDescent="0.25">
      <c r="A12704" t="str">
        <f>"0611836444100"</f>
        <v>0611836444100</v>
      </c>
      <c r="B12704" t="str">
        <f>"LL0012"</f>
        <v>LL0012</v>
      </c>
      <c r="C12704" t="s">
        <v>12471</v>
      </c>
    </row>
    <row r="12705" spans="1:3" x14ac:dyDescent="0.25">
      <c r="A12705" t="str">
        <f>"0611836445100"</f>
        <v>0611836445100</v>
      </c>
      <c r="B12705" t="str">
        <f>"LL4095"</f>
        <v>LL4095</v>
      </c>
      <c r="C12705" t="s">
        <v>12472</v>
      </c>
    </row>
    <row r="12706" spans="1:3" x14ac:dyDescent="0.25">
      <c r="A12706" t="str">
        <f>"0611836446100"</f>
        <v>0611836446100</v>
      </c>
      <c r="B12706" t="str">
        <f>"LL8122"</f>
        <v>LL8122</v>
      </c>
      <c r="C12706" t="s">
        <v>12473</v>
      </c>
    </row>
    <row r="12707" spans="1:3" x14ac:dyDescent="0.25">
      <c r="A12707" t="str">
        <f>"0611836447100"</f>
        <v>0611836447100</v>
      </c>
      <c r="B12707" t="str">
        <f>"LL0052"</f>
        <v>LL0052</v>
      </c>
      <c r="C12707" t="s">
        <v>12474</v>
      </c>
    </row>
    <row r="12708" spans="1:3" x14ac:dyDescent="0.25">
      <c r="A12708" t="str">
        <f>"0611836448100"</f>
        <v>0611836448100</v>
      </c>
      <c r="B12708" t="str">
        <f>"LL4098"</f>
        <v>LL4098</v>
      </c>
      <c r="C12708" t="s">
        <v>12475</v>
      </c>
    </row>
    <row r="12709" spans="1:3" x14ac:dyDescent="0.25">
      <c r="A12709" t="str">
        <f>"0611836449100"</f>
        <v>0611836449100</v>
      </c>
      <c r="B12709" t="str">
        <f>"LL8093"</f>
        <v>LL8093</v>
      </c>
      <c r="C12709" t="s">
        <v>12476</v>
      </c>
    </row>
    <row r="12710" spans="1:3" x14ac:dyDescent="0.25">
      <c r="A12710" t="str">
        <f>"0611836450100"</f>
        <v>0611836450100</v>
      </c>
      <c r="B12710" t="str">
        <f>"LL0075"</f>
        <v>LL0075</v>
      </c>
      <c r="C12710" t="s">
        <v>12477</v>
      </c>
    </row>
    <row r="12711" spans="1:3" x14ac:dyDescent="0.25">
      <c r="A12711" t="str">
        <f>"0611836651100"</f>
        <v>0611836651100</v>
      </c>
      <c r="B12711" t="str">
        <f>"MB1248"</f>
        <v>MB1248</v>
      </c>
      <c r="C12711" t="s">
        <v>12486</v>
      </c>
    </row>
    <row r="12712" spans="1:3" x14ac:dyDescent="0.25">
      <c r="A12712" t="str">
        <f>"0611836652100"</f>
        <v>0611836652100</v>
      </c>
      <c r="B12712" t="str">
        <f>"LL4720"</f>
        <v>LL4720</v>
      </c>
      <c r="C12712" t="s">
        <v>12487</v>
      </c>
    </row>
    <row r="12713" spans="1:3" x14ac:dyDescent="0.25">
      <c r="A12713" t="str">
        <f>"0611839794100"</f>
        <v>0611839794100</v>
      </c>
      <c r="B12713" t="str">
        <f>"LL8130"</f>
        <v>LL8130</v>
      </c>
      <c r="C12713" t="s">
        <v>12478</v>
      </c>
    </row>
    <row r="12714" spans="1:3" x14ac:dyDescent="0.25">
      <c r="A12714" t="str">
        <f>"0611836451100"</f>
        <v>0611836451100</v>
      </c>
      <c r="B12714" t="str">
        <f>"LL3881"</f>
        <v>LL3881</v>
      </c>
      <c r="C12714" t="s">
        <v>12479</v>
      </c>
    </row>
    <row r="12715" spans="1:3" x14ac:dyDescent="0.25">
      <c r="A12715" t="str">
        <f>"0611836452100"</f>
        <v>0611836452100</v>
      </c>
      <c r="B12715" t="str">
        <f>"LL4130"</f>
        <v>LL4130</v>
      </c>
      <c r="C12715" t="s">
        <v>12480</v>
      </c>
    </row>
    <row r="12716" spans="1:3" x14ac:dyDescent="0.25">
      <c r="A12716" t="str">
        <f>"0611836453100"</f>
        <v>0611836453100</v>
      </c>
      <c r="B12716" t="str">
        <f>"LL4003"</f>
        <v>LL4003</v>
      </c>
      <c r="C12716" t="s">
        <v>12481</v>
      </c>
    </row>
    <row r="12717" spans="1:3" x14ac:dyDescent="0.25">
      <c r="A12717" t="str">
        <f>"0611836454100"</f>
        <v>0611836454100</v>
      </c>
      <c r="B12717" t="str">
        <f>"LL8131"</f>
        <v>LL8131</v>
      </c>
      <c r="C12717" t="s">
        <v>12482</v>
      </c>
    </row>
    <row r="12718" spans="1:3" x14ac:dyDescent="0.25">
      <c r="A12718" t="str">
        <f>"0611836455100"</f>
        <v>0611836455100</v>
      </c>
      <c r="B12718" t="str">
        <f>"LL4138"</f>
        <v>LL4138</v>
      </c>
      <c r="C12718" t="s">
        <v>12483</v>
      </c>
    </row>
    <row r="12719" spans="1:3" x14ac:dyDescent="0.25">
      <c r="A12719" t="str">
        <f>"0611836456100"</f>
        <v>0611836456100</v>
      </c>
      <c r="B12719" t="str">
        <f>"LL0083"</f>
        <v>LL0083</v>
      </c>
      <c r="C12719" t="s">
        <v>12484</v>
      </c>
    </row>
    <row r="12720" spans="1:3" x14ac:dyDescent="0.25">
      <c r="A12720" t="str">
        <f>"0611836457100"</f>
        <v>0611836457100</v>
      </c>
      <c r="B12720" t="str">
        <f>"LL4141"</f>
        <v>LL4141</v>
      </c>
      <c r="C12720" t="s">
        <v>12485</v>
      </c>
    </row>
    <row r="12721" spans="1:3" x14ac:dyDescent="0.25">
      <c r="A12721" t="str">
        <f>"0611836458100"</f>
        <v>0611836458100</v>
      </c>
      <c r="B12721" t="str">
        <f>"LL5026"</f>
        <v>LL5026</v>
      </c>
      <c r="C12721" t="s">
        <v>12488</v>
      </c>
    </row>
    <row r="12722" spans="1:3" x14ac:dyDescent="0.25">
      <c r="A12722" t="str">
        <f>"0611839795100"</f>
        <v>0611839795100</v>
      </c>
      <c r="B12722" t="str">
        <f>"LL5027"</f>
        <v>LL5027</v>
      </c>
      <c r="C12722" t="s">
        <v>12489</v>
      </c>
    </row>
    <row r="12723" spans="1:3" x14ac:dyDescent="0.25">
      <c r="A12723" t="str">
        <f>"0611836459100"</f>
        <v>0611836459100</v>
      </c>
      <c r="B12723" t="str">
        <f>"LL4145"</f>
        <v>LL4145</v>
      </c>
      <c r="C12723" t="s">
        <v>12490</v>
      </c>
    </row>
    <row r="12724" spans="1:3" x14ac:dyDescent="0.25">
      <c r="A12724" t="str">
        <f>"0611836460100"</f>
        <v>0611836460100</v>
      </c>
      <c r="B12724" t="str">
        <f>"LL4004"</f>
        <v>LL4004</v>
      </c>
      <c r="C12724" t="s">
        <v>12491</v>
      </c>
    </row>
    <row r="12725" spans="1:3" x14ac:dyDescent="0.25">
      <c r="A12725" t="str">
        <f>"0611836462100"</f>
        <v>0611836462100</v>
      </c>
      <c r="B12725" t="str">
        <f>"LL4149"</f>
        <v>LL4149</v>
      </c>
      <c r="C12725" t="s">
        <v>12492</v>
      </c>
    </row>
    <row r="12726" spans="1:3" x14ac:dyDescent="0.25">
      <c r="A12726" t="str">
        <f>"0611836463100"</f>
        <v>0611836463100</v>
      </c>
      <c r="B12726" t="str">
        <f>"LL3882"</f>
        <v>LL3882</v>
      </c>
      <c r="C12726" t="s">
        <v>12493</v>
      </c>
    </row>
    <row r="12727" spans="1:3" x14ac:dyDescent="0.25">
      <c r="A12727" t="str">
        <f>"0611836464100"</f>
        <v>0611836464100</v>
      </c>
      <c r="B12727" t="str">
        <f>"LL3978"</f>
        <v>LL3978</v>
      </c>
      <c r="C12727" t="s">
        <v>12494</v>
      </c>
    </row>
    <row r="12728" spans="1:3" x14ac:dyDescent="0.25">
      <c r="A12728" t="str">
        <f>"0611836465100"</f>
        <v>0611836465100</v>
      </c>
      <c r="B12728" t="str">
        <f>"LL3977"</f>
        <v>LL3977</v>
      </c>
      <c r="C12728" t="s">
        <v>12495</v>
      </c>
    </row>
    <row r="12729" spans="1:3" x14ac:dyDescent="0.25">
      <c r="A12729" t="str">
        <f>"0611836466100"</f>
        <v>0611836466100</v>
      </c>
      <c r="B12729" t="str">
        <f>"LL4817"</f>
        <v>LL4817</v>
      </c>
      <c r="C12729" t="s">
        <v>12496</v>
      </c>
    </row>
    <row r="12730" spans="1:3" x14ac:dyDescent="0.25">
      <c r="A12730" t="str">
        <f>"0611836468100"</f>
        <v>0611836468100</v>
      </c>
      <c r="B12730" t="str">
        <f>"LL3940"</f>
        <v>LL3940</v>
      </c>
      <c r="C12730" t="s">
        <v>12497</v>
      </c>
    </row>
    <row r="12731" spans="1:3" x14ac:dyDescent="0.25">
      <c r="A12731" t="str">
        <f>"0611836469100"</f>
        <v>0611836469100</v>
      </c>
      <c r="B12731" t="str">
        <f>"LL3944"</f>
        <v>LL3944</v>
      </c>
      <c r="C12731" t="s">
        <v>12498</v>
      </c>
    </row>
    <row r="12732" spans="1:3" x14ac:dyDescent="0.25">
      <c r="A12732" t="str">
        <f>"0611836470025"</f>
        <v>0611836470025</v>
      </c>
      <c r="B12732" t="str">
        <f>"MC2321"</f>
        <v>MC2321</v>
      </c>
      <c r="C12732" t="s">
        <v>12499</v>
      </c>
    </row>
    <row r="12733" spans="1:3" x14ac:dyDescent="0.25">
      <c r="A12733" t="str">
        <f>"0611836471100"</f>
        <v>0611836471100</v>
      </c>
      <c r="B12733" t="str">
        <f>"LL4049"</f>
        <v>LL4049</v>
      </c>
      <c r="C12733" t="s">
        <v>12500</v>
      </c>
    </row>
    <row r="12734" spans="1:3" x14ac:dyDescent="0.25">
      <c r="A12734" t="str">
        <f>"0611836472100"</f>
        <v>0611836472100</v>
      </c>
      <c r="B12734" t="str">
        <f>"LL3984"</f>
        <v>LL3984</v>
      </c>
      <c r="C12734" t="s">
        <v>12501</v>
      </c>
    </row>
    <row r="12735" spans="1:3" x14ac:dyDescent="0.25">
      <c r="A12735" t="str">
        <f>"0611836473100"</f>
        <v>0611836473100</v>
      </c>
      <c r="B12735" t="str">
        <f>"LL8064"</f>
        <v>LL8064</v>
      </c>
      <c r="C12735" t="s">
        <v>12502</v>
      </c>
    </row>
    <row r="12736" spans="1:3" x14ac:dyDescent="0.25">
      <c r="A12736" t="str">
        <f>"0611836474100"</f>
        <v>0611836474100</v>
      </c>
      <c r="B12736" t="str">
        <f>"LL3920"</f>
        <v>LL3920</v>
      </c>
      <c r="C12736" t="s">
        <v>12503</v>
      </c>
    </row>
    <row r="12737" spans="1:3" x14ac:dyDescent="0.25">
      <c r="A12737" t="str">
        <f>"0611836475100"</f>
        <v>0611836475100</v>
      </c>
      <c r="B12737" t="str">
        <f>"LL3986"</f>
        <v>LL3986</v>
      </c>
      <c r="C12737" t="s">
        <v>12504</v>
      </c>
    </row>
    <row r="12738" spans="1:3" x14ac:dyDescent="0.25">
      <c r="A12738" t="str">
        <f>"0611836476100"</f>
        <v>0611836476100</v>
      </c>
      <c r="B12738" t="str">
        <f>"LL8253"</f>
        <v>LL8253</v>
      </c>
      <c r="C12738" t="s">
        <v>12505</v>
      </c>
    </row>
    <row r="12739" spans="1:3" x14ac:dyDescent="0.25">
      <c r="A12739" t="str">
        <f>"0611836477100"</f>
        <v>0611836477100</v>
      </c>
      <c r="B12739" t="str">
        <f>"LL5028"</f>
        <v>LL5028</v>
      </c>
      <c r="C12739" t="s">
        <v>12506</v>
      </c>
    </row>
    <row r="12740" spans="1:3" x14ac:dyDescent="0.25">
      <c r="A12740" t="str">
        <f>"0611836479100"</f>
        <v>0611836479100</v>
      </c>
      <c r="B12740" t="str">
        <f>"LL8254"</f>
        <v>LL8254</v>
      </c>
      <c r="C12740" t="s">
        <v>12507</v>
      </c>
    </row>
    <row r="12741" spans="1:3" x14ac:dyDescent="0.25">
      <c r="A12741" t="str">
        <f>"0611836480100"</f>
        <v>0611836480100</v>
      </c>
      <c r="B12741" t="str">
        <f>"LL4062"</f>
        <v>LL4062</v>
      </c>
      <c r="C12741" t="s">
        <v>12508</v>
      </c>
    </row>
    <row r="12742" spans="1:3" x14ac:dyDescent="0.25">
      <c r="A12742" t="str">
        <f>"0611836481100"</f>
        <v>0611836481100</v>
      </c>
      <c r="B12742" t="str">
        <f>"LL4190"</f>
        <v>LL4190</v>
      </c>
      <c r="C12742" t="s">
        <v>12509</v>
      </c>
    </row>
    <row r="12743" spans="1:3" x14ac:dyDescent="0.25">
      <c r="A12743" t="str">
        <f>"0611836482100"</f>
        <v>0611836482100</v>
      </c>
      <c r="B12743" t="str">
        <f>"LL3948"</f>
        <v>LL3948</v>
      </c>
      <c r="C12743" t="s">
        <v>12510</v>
      </c>
    </row>
    <row r="12744" spans="1:3" x14ac:dyDescent="0.25">
      <c r="A12744" t="str">
        <f>"0611836483100"</f>
        <v>0611836483100</v>
      </c>
      <c r="B12744" t="str">
        <f>"LL5029"</f>
        <v>LL5029</v>
      </c>
      <c r="C12744" t="s">
        <v>12511</v>
      </c>
    </row>
    <row r="12745" spans="1:3" x14ac:dyDescent="0.25">
      <c r="A12745" t="str">
        <f>"0611836484100"</f>
        <v>0611836484100</v>
      </c>
      <c r="B12745" t="str">
        <f>"LL4039"</f>
        <v>LL4039</v>
      </c>
      <c r="C12745" t="s">
        <v>12512</v>
      </c>
    </row>
    <row r="12746" spans="1:3" x14ac:dyDescent="0.25">
      <c r="A12746" t="str">
        <f>"0611836485100"</f>
        <v>0611836485100</v>
      </c>
      <c r="B12746" t="str">
        <f>"LL3987"</f>
        <v>LL3987</v>
      </c>
      <c r="C12746" t="s">
        <v>12513</v>
      </c>
    </row>
    <row r="12747" spans="1:3" x14ac:dyDescent="0.25">
      <c r="A12747" t="str">
        <f>"0611836486100"</f>
        <v>0611836486100</v>
      </c>
      <c r="B12747" t="str">
        <f>"LL8118"</f>
        <v>LL8118</v>
      </c>
      <c r="C12747" t="s">
        <v>12514</v>
      </c>
    </row>
    <row r="12748" spans="1:3" x14ac:dyDescent="0.25">
      <c r="A12748" t="str">
        <f>"0611836487100"</f>
        <v>0611836487100</v>
      </c>
      <c r="B12748" t="str">
        <f>"LL4195"</f>
        <v>LL4195</v>
      </c>
      <c r="C12748" t="s">
        <v>12515</v>
      </c>
    </row>
    <row r="12749" spans="1:3" x14ac:dyDescent="0.25">
      <c r="A12749" t="str">
        <f>"0611836488100"</f>
        <v>0611836488100</v>
      </c>
      <c r="B12749" t="str">
        <f>"LL3892"</f>
        <v>LL3892</v>
      </c>
      <c r="C12749" t="s">
        <v>12516</v>
      </c>
    </row>
    <row r="12750" spans="1:3" x14ac:dyDescent="0.25">
      <c r="A12750" t="str">
        <f>"0611836489100"</f>
        <v>0611836489100</v>
      </c>
      <c r="B12750" t="str">
        <f>"LL4186"</f>
        <v>LL4186</v>
      </c>
      <c r="C12750" t="s">
        <v>12517</v>
      </c>
    </row>
    <row r="12751" spans="1:3" x14ac:dyDescent="0.25">
      <c r="A12751" t="str">
        <f>"0611836490100"</f>
        <v>0611836490100</v>
      </c>
      <c r="B12751" t="str">
        <f>"LL0076"</f>
        <v>LL0076</v>
      </c>
      <c r="C12751" t="s">
        <v>12518</v>
      </c>
    </row>
    <row r="12752" spans="1:3" x14ac:dyDescent="0.25">
      <c r="A12752" t="str">
        <f>"0611836491100"</f>
        <v>0611836491100</v>
      </c>
      <c r="B12752" t="str">
        <f>"LL0077"</f>
        <v>LL0077</v>
      </c>
      <c r="C12752" t="s">
        <v>12519</v>
      </c>
    </row>
    <row r="12753" spans="1:3" x14ac:dyDescent="0.25">
      <c r="A12753" t="str">
        <f>"0611836492100"</f>
        <v>0611836492100</v>
      </c>
      <c r="B12753" t="str">
        <f>"LL0078"</f>
        <v>LL0078</v>
      </c>
      <c r="C12753" t="s">
        <v>12520</v>
      </c>
    </row>
    <row r="12754" spans="1:3" x14ac:dyDescent="0.25">
      <c r="A12754" t="str">
        <f>"0611836493100"</f>
        <v>0611836493100</v>
      </c>
      <c r="B12754" t="str">
        <f>"LL8095"</f>
        <v>LL8095</v>
      </c>
      <c r="C12754" t="s">
        <v>12521</v>
      </c>
    </row>
    <row r="12755" spans="1:3" x14ac:dyDescent="0.25">
      <c r="A12755" t="str">
        <f>"0611836494100"</f>
        <v>0611836494100</v>
      </c>
      <c r="B12755" t="str">
        <f>"LL1707"</f>
        <v>LL1707</v>
      </c>
      <c r="C12755" t="s">
        <v>12522</v>
      </c>
    </row>
    <row r="12756" spans="1:3" x14ac:dyDescent="0.25">
      <c r="A12756" t="str">
        <f>"0611836495100"</f>
        <v>0611836495100</v>
      </c>
      <c r="B12756" t="str">
        <f>"LL8075"</f>
        <v>LL8075</v>
      </c>
      <c r="C12756" t="s">
        <v>12523</v>
      </c>
    </row>
    <row r="12757" spans="1:3" x14ac:dyDescent="0.25">
      <c r="A12757" t="str">
        <f>"0611839796100"</f>
        <v>0611839796100</v>
      </c>
      <c r="B12757" t="str">
        <f>"LL8031"</f>
        <v>LL8031</v>
      </c>
      <c r="C12757" t="s">
        <v>12524</v>
      </c>
    </row>
    <row r="12758" spans="1:3" x14ac:dyDescent="0.25">
      <c r="A12758" t="str">
        <f>"0611836496100"</f>
        <v>0611836496100</v>
      </c>
      <c r="B12758" t="str">
        <f>"LL0079"</f>
        <v>LL0079</v>
      </c>
      <c r="C12758" t="s">
        <v>12525</v>
      </c>
    </row>
    <row r="12759" spans="1:3" x14ac:dyDescent="0.25">
      <c r="A12759" t="str">
        <f>"0611836497100"</f>
        <v>0611836497100</v>
      </c>
      <c r="B12759" t="str">
        <f>"LL3895"</f>
        <v>LL3895</v>
      </c>
      <c r="C12759" t="s">
        <v>12526</v>
      </c>
    </row>
    <row r="12760" spans="1:3" x14ac:dyDescent="0.25">
      <c r="A12760" t="str">
        <f>"0611836498100"</f>
        <v>0611836498100</v>
      </c>
      <c r="B12760" t="str">
        <f>"LL4240"</f>
        <v>LL4240</v>
      </c>
      <c r="C12760" t="s">
        <v>12527</v>
      </c>
    </row>
    <row r="12761" spans="1:3" x14ac:dyDescent="0.25">
      <c r="A12761" t="str">
        <f>"0611836499200"</f>
        <v>0611836499200</v>
      </c>
      <c r="B12761" t="str">
        <f>"KY4240"</f>
        <v>KY4240</v>
      </c>
      <c r="C12761" t="s">
        <v>12528</v>
      </c>
    </row>
    <row r="12762" spans="1:3" x14ac:dyDescent="0.25">
      <c r="A12762" t="str">
        <f>"0611836500100"</f>
        <v>0611836500100</v>
      </c>
      <c r="B12762" t="str">
        <f>"LL3929"</f>
        <v>LL3929</v>
      </c>
      <c r="C12762" t="s">
        <v>12529</v>
      </c>
    </row>
    <row r="12763" spans="1:3" x14ac:dyDescent="0.25">
      <c r="A12763" t="str">
        <f>"0611836501100"</f>
        <v>0611836501100</v>
      </c>
      <c r="B12763" t="str">
        <f>"LL4010"</f>
        <v>LL4010</v>
      </c>
      <c r="C12763" t="s">
        <v>12530</v>
      </c>
    </row>
    <row r="12764" spans="1:3" x14ac:dyDescent="0.25">
      <c r="A12764" t="str">
        <f>"0611836502100"</f>
        <v>0611836502100</v>
      </c>
      <c r="B12764" t="str">
        <f>"LL4250"</f>
        <v>LL4250</v>
      </c>
      <c r="C12764" t="s">
        <v>12531</v>
      </c>
    </row>
    <row r="12765" spans="1:3" x14ac:dyDescent="0.25">
      <c r="A12765" t="str">
        <f>"0611839797100"</f>
        <v>0611839797100</v>
      </c>
      <c r="B12765" t="str">
        <f>"LL3921"</f>
        <v>LL3921</v>
      </c>
      <c r="C12765" t="s">
        <v>12532</v>
      </c>
    </row>
    <row r="12766" spans="1:3" x14ac:dyDescent="0.25">
      <c r="A12766" t="str">
        <f>"0611839793100"</f>
        <v>0611839793100</v>
      </c>
      <c r="B12766" t="str">
        <f>"LL0193"</f>
        <v>LL0193</v>
      </c>
      <c r="C12766" t="s">
        <v>12533</v>
      </c>
    </row>
    <row r="12767" spans="1:3" x14ac:dyDescent="0.25">
      <c r="A12767" t="str">
        <f>"0611906988025"</f>
        <v>0611906988025</v>
      </c>
      <c r="B12767" t="str">
        <f>"MC4561"</f>
        <v>MC4561</v>
      </c>
      <c r="C12767" t="s">
        <v>12534</v>
      </c>
    </row>
    <row r="12768" spans="1:3" x14ac:dyDescent="0.25">
      <c r="A12768" t="str">
        <f>"0611839800100"</f>
        <v>0611839800100</v>
      </c>
      <c r="B12768" t="str">
        <f>"LL4335"</f>
        <v>LL4335</v>
      </c>
      <c r="C12768" t="s">
        <v>12535</v>
      </c>
    </row>
    <row r="12769" spans="1:3" x14ac:dyDescent="0.25">
      <c r="A12769" t="str">
        <f>"0611906989025"</f>
        <v>0611906989025</v>
      </c>
      <c r="B12769" t="str">
        <f>"MC4563"</f>
        <v>MC4563</v>
      </c>
      <c r="C12769" t="s">
        <v>12537</v>
      </c>
    </row>
    <row r="12770" spans="1:3" x14ac:dyDescent="0.25">
      <c r="A12770" t="str">
        <f>"0611839806100"</f>
        <v>0611839806100</v>
      </c>
      <c r="B12770" t="str">
        <f>"LL0171"</f>
        <v>LL0171</v>
      </c>
      <c r="C12770" t="s">
        <v>12538</v>
      </c>
    </row>
    <row r="12771" spans="1:3" x14ac:dyDescent="0.25">
      <c r="A12771" t="str">
        <f>"0611906990025"</f>
        <v>0611906990025</v>
      </c>
      <c r="B12771" t="str">
        <f>"MC4564"</f>
        <v>MC4564</v>
      </c>
      <c r="C12771" t="s">
        <v>12539</v>
      </c>
    </row>
    <row r="12772" spans="1:3" x14ac:dyDescent="0.25">
      <c r="A12772" t="str">
        <f>"0611836503100"</f>
        <v>0611836503100</v>
      </c>
      <c r="B12772" t="str">
        <f>"LL4270"</f>
        <v>LL4270</v>
      </c>
      <c r="C12772" t="s">
        <v>12540</v>
      </c>
    </row>
    <row r="12773" spans="1:3" x14ac:dyDescent="0.25">
      <c r="A12773" t="str">
        <f>"0611836504100"</f>
        <v>0611836504100</v>
      </c>
      <c r="B12773" t="str">
        <f>"LL4037"</f>
        <v>LL4037</v>
      </c>
      <c r="C12773" t="s">
        <v>12541</v>
      </c>
    </row>
    <row r="12774" spans="1:3" x14ac:dyDescent="0.25">
      <c r="A12774" t="str">
        <f>"0611836505100"</f>
        <v>0611836505100</v>
      </c>
      <c r="B12774" t="str">
        <f>"LL4290"</f>
        <v>LL4290</v>
      </c>
      <c r="C12774" t="s">
        <v>12542</v>
      </c>
    </row>
    <row r="12775" spans="1:3" x14ac:dyDescent="0.25">
      <c r="A12775" t="str">
        <f>"0611857155100"</f>
        <v>0611857155100</v>
      </c>
      <c r="B12775" t="str">
        <f>"LL5049"</f>
        <v>LL5049</v>
      </c>
      <c r="C12775" t="s">
        <v>12543</v>
      </c>
    </row>
    <row r="12776" spans="1:3" x14ac:dyDescent="0.25">
      <c r="A12776" t="str">
        <f>"0611836506100"</f>
        <v>0611836506100</v>
      </c>
      <c r="B12776" t="str">
        <f>"LL0098"</f>
        <v>LL0098</v>
      </c>
      <c r="C12776" t="s">
        <v>12544</v>
      </c>
    </row>
    <row r="12777" spans="1:3" x14ac:dyDescent="0.25">
      <c r="A12777" t="str">
        <f>"0611836507100"</f>
        <v>0611836507100</v>
      </c>
      <c r="B12777" t="str">
        <f>"LL0013"</f>
        <v>LL0013</v>
      </c>
      <c r="C12777" t="s">
        <v>12548</v>
      </c>
    </row>
    <row r="12778" spans="1:3" x14ac:dyDescent="0.25">
      <c r="A12778" t="str">
        <f>"0611839798100"</f>
        <v>0611839798100</v>
      </c>
      <c r="B12778" t="str">
        <f>"LL4553"</f>
        <v>LL4553</v>
      </c>
      <c r="C12778" t="s">
        <v>12549</v>
      </c>
    </row>
    <row r="12779" spans="1:3" x14ac:dyDescent="0.25">
      <c r="A12779" t="str">
        <f>"0611836508100"</f>
        <v>0611836508100</v>
      </c>
      <c r="B12779" t="str">
        <f>"LL0014"</f>
        <v>LL0014</v>
      </c>
      <c r="C12779" t="s">
        <v>12550</v>
      </c>
    </row>
    <row r="12780" spans="1:3" x14ac:dyDescent="0.25">
      <c r="A12780" t="str">
        <f>"0611836515100"</f>
        <v>0611836515100</v>
      </c>
      <c r="B12780" t="str">
        <f>"LL0015"</f>
        <v>LL0015</v>
      </c>
      <c r="C12780" t="s">
        <v>12551</v>
      </c>
    </row>
    <row r="12781" spans="1:3" x14ac:dyDescent="0.25">
      <c r="A12781" t="str">
        <f>"0611836509100"</f>
        <v>0611836509100</v>
      </c>
      <c r="B12781" t="str">
        <f>"LL8255"</f>
        <v>LL8255</v>
      </c>
      <c r="C12781" t="s">
        <v>12552</v>
      </c>
    </row>
    <row r="12782" spans="1:3" x14ac:dyDescent="0.25">
      <c r="A12782" t="str">
        <f>"0611836510100"</f>
        <v>0611836510100</v>
      </c>
      <c r="B12782" t="str">
        <f>"LL0016"</f>
        <v>LL0016</v>
      </c>
      <c r="C12782" t="s">
        <v>12553</v>
      </c>
    </row>
    <row r="12783" spans="1:3" x14ac:dyDescent="0.25">
      <c r="A12783" t="str">
        <f>"0611836512100"</f>
        <v>0611836512100</v>
      </c>
      <c r="B12783" t="str">
        <f>"LL4870"</f>
        <v>LL4870</v>
      </c>
      <c r="C12783" t="s">
        <v>12545</v>
      </c>
    </row>
    <row r="12784" spans="1:3" x14ac:dyDescent="0.25">
      <c r="A12784" t="str">
        <f>"0611836513100"</f>
        <v>0611836513100</v>
      </c>
      <c r="B12784" t="str">
        <f>"LL0196"</f>
        <v>LL0196</v>
      </c>
      <c r="C12784" t="s">
        <v>12546</v>
      </c>
    </row>
    <row r="12785" spans="1:3" x14ac:dyDescent="0.25">
      <c r="A12785" t="str">
        <f>"0611836514100"</f>
        <v>0611836514100</v>
      </c>
      <c r="B12785" t="str">
        <f>"LL3969"</f>
        <v>LL3969</v>
      </c>
      <c r="C12785" t="s">
        <v>12547</v>
      </c>
    </row>
    <row r="12786" spans="1:3" x14ac:dyDescent="0.25">
      <c r="A12786" t="str">
        <f>"0611836517100"</f>
        <v>0611836517100</v>
      </c>
      <c r="B12786" t="str">
        <f>"LL4325"</f>
        <v>LL4325</v>
      </c>
      <c r="C12786" t="s">
        <v>12554</v>
      </c>
    </row>
    <row r="12787" spans="1:3" x14ac:dyDescent="0.25">
      <c r="A12787" t="str">
        <f>"0611836518100"</f>
        <v>0611836518100</v>
      </c>
      <c r="B12787" t="str">
        <f>"LL4330"</f>
        <v>LL4330</v>
      </c>
      <c r="C12787" t="s">
        <v>12555</v>
      </c>
    </row>
    <row r="12788" spans="1:3" x14ac:dyDescent="0.25">
      <c r="A12788" t="str">
        <f>"0611836520100"</f>
        <v>0611836520100</v>
      </c>
      <c r="B12788" t="str">
        <f>"LL4333"</f>
        <v>LL4333</v>
      </c>
      <c r="C12788" t="s">
        <v>12556</v>
      </c>
    </row>
    <row r="12789" spans="1:3" x14ac:dyDescent="0.25">
      <c r="A12789" t="str">
        <f>"0611836521100"</f>
        <v>0611836521100</v>
      </c>
      <c r="B12789" t="str">
        <f>"LL0080"</f>
        <v>LL0080</v>
      </c>
      <c r="C12789" t="s">
        <v>12557</v>
      </c>
    </row>
    <row r="12790" spans="1:3" x14ac:dyDescent="0.25">
      <c r="A12790" t="str">
        <f>"0611839799100"</f>
        <v>0611839799100</v>
      </c>
      <c r="B12790" t="str">
        <f>"LL8256"</f>
        <v>LL8256</v>
      </c>
      <c r="C12790" t="s">
        <v>12558</v>
      </c>
    </row>
    <row r="12791" spans="1:3" x14ac:dyDescent="0.25">
      <c r="A12791" t="str">
        <f>"0611836522100"</f>
        <v>0611836522100</v>
      </c>
      <c r="B12791" t="str">
        <f>"LL0197"</f>
        <v>LL0197</v>
      </c>
      <c r="C12791" t="s">
        <v>12559</v>
      </c>
    </row>
    <row r="12792" spans="1:3" x14ac:dyDescent="0.25">
      <c r="A12792" t="str">
        <f>"0611836523100"</f>
        <v>0611836523100</v>
      </c>
      <c r="B12792" t="str">
        <f>"LL4862"</f>
        <v>LL4862</v>
      </c>
      <c r="C12792" t="s">
        <v>12560</v>
      </c>
    </row>
    <row r="12793" spans="1:3" x14ac:dyDescent="0.25">
      <c r="A12793" t="str">
        <f>"0611836524100"</f>
        <v>0611836524100</v>
      </c>
      <c r="B12793" t="str">
        <f>"LL8341"</f>
        <v>LL8341</v>
      </c>
      <c r="C12793" t="s">
        <v>12561</v>
      </c>
    </row>
    <row r="12794" spans="1:3" x14ac:dyDescent="0.25">
      <c r="A12794" t="str">
        <f>"0611836525100"</f>
        <v>0611836525100</v>
      </c>
      <c r="B12794" t="str">
        <f>"LL4005"</f>
        <v>LL4005</v>
      </c>
      <c r="C12794" t="s">
        <v>12562</v>
      </c>
    </row>
    <row r="12795" spans="1:3" x14ac:dyDescent="0.25">
      <c r="A12795" t="str">
        <f>"0611839801100"</f>
        <v>0611839801100</v>
      </c>
      <c r="B12795" t="str">
        <f>"LL8257"</f>
        <v>LL8257</v>
      </c>
      <c r="C12795" t="s">
        <v>12563</v>
      </c>
    </row>
    <row r="12796" spans="1:3" x14ac:dyDescent="0.25">
      <c r="A12796" t="str">
        <f>"0611836527100"</f>
        <v>0611836527100</v>
      </c>
      <c r="B12796" t="str">
        <f>"LL4346"</f>
        <v>LL4346</v>
      </c>
      <c r="C12796" t="s">
        <v>12564</v>
      </c>
    </row>
    <row r="12797" spans="1:3" x14ac:dyDescent="0.25">
      <c r="A12797" t="str">
        <f>"0611836528100"</f>
        <v>0611836528100</v>
      </c>
      <c r="B12797" t="str">
        <f>"LL3934"</f>
        <v>LL3934</v>
      </c>
      <c r="C12797" t="s">
        <v>12565</v>
      </c>
    </row>
    <row r="12798" spans="1:3" x14ac:dyDescent="0.25">
      <c r="A12798" t="str">
        <f>"0611836529100"</f>
        <v>0611836529100</v>
      </c>
      <c r="B12798" t="str">
        <f>"LL4041"</f>
        <v>LL4041</v>
      </c>
      <c r="C12798" t="s">
        <v>12566</v>
      </c>
    </row>
    <row r="12799" spans="1:3" x14ac:dyDescent="0.25">
      <c r="A12799" t="str">
        <f>"0611836530100"</f>
        <v>0611836530100</v>
      </c>
      <c r="B12799" t="str">
        <f>"LL3930"</f>
        <v>LL3930</v>
      </c>
      <c r="C12799" t="s">
        <v>12567</v>
      </c>
    </row>
    <row r="12800" spans="1:3" x14ac:dyDescent="0.25">
      <c r="A12800" t="str">
        <f>"0611836531200"</f>
        <v>0611836531200</v>
      </c>
      <c r="B12800" t="str">
        <f>"KY4046"</f>
        <v>KY4046</v>
      </c>
      <c r="C12800" t="s">
        <v>12568</v>
      </c>
    </row>
    <row r="12801" spans="1:3" x14ac:dyDescent="0.25">
      <c r="A12801" t="str">
        <f>"0611836532100"</f>
        <v>0611836532100</v>
      </c>
      <c r="B12801" t="str">
        <f>"LL8097"</f>
        <v>LL8097</v>
      </c>
      <c r="C12801" t="s">
        <v>12569</v>
      </c>
    </row>
    <row r="12802" spans="1:3" x14ac:dyDescent="0.25">
      <c r="A12802" t="str">
        <f>"0611836533100"</f>
        <v>0611836533100</v>
      </c>
      <c r="B12802" t="str">
        <f>"LL8098"</f>
        <v>LL8098</v>
      </c>
      <c r="C12802" t="s">
        <v>12570</v>
      </c>
    </row>
    <row r="12803" spans="1:3" x14ac:dyDescent="0.25">
      <c r="A12803" t="str">
        <f>"0611836534100"</f>
        <v>0611836534100</v>
      </c>
      <c r="B12803" t="str">
        <f>"LL4354"</f>
        <v>LL4354</v>
      </c>
      <c r="C12803" t="s">
        <v>12571</v>
      </c>
    </row>
    <row r="12804" spans="1:3" x14ac:dyDescent="0.25">
      <c r="A12804" t="str">
        <f>"0611836535100"</f>
        <v>0611836535100</v>
      </c>
      <c r="B12804" t="str">
        <f>"LL8099"</f>
        <v>LL8099</v>
      </c>
      <c r="C12804" t="s">
        <v>12572</v>
      </c>
    </row>
    <row r="12805" spans="1:3" x14ac:dyDescent="0.25">
      <c r="A12805" t="str">
        <f>"0611836536100"</f>
        <v>0611836536100</v>
      </c>
      <c r="B12805" t="str">
        <f>"LL8132"</f>
        <v>LL8132</v>
      </c>
      <c r="C12805" t="s">
        <v>12573</v>
      </c>
    </row>
    <row r="12806" spans="1:3" x14ac:dyDescent="0.25">
      <c r="A12806" t="str">
        <f>"0611836537100"</f>
        <v>0611836537100</v>
      </c>
      <c r="B12806" t="str">
        <f>"LL8100"</f>
        <v>LL8100</v>
      </c>
      <c r="C12806" t="s">
        <v>12574</v>
      </c>
    </row>
    <row r="12807" spans="1:3" x14ac:dyDescent="0.25">
      <c r="A12807" t="str">
        <f>"0611836538100"</f>
        <v>0611836538100</v>
      </c>
      <c r="B12807" t="str">
        <f>"LL4352"</f>
        <v>LL4352</v>
      </c>
      <c r="C12807" t="s">
        <v>12575</v>
      </c>
    </row>
    <row r="12808" spans="1:3" x14ac:dyDescent="0.25">
      <c r="A12808" t="str">
        <f>"0611836539100"</f>
        <v>0611836539100</v>
      </c>
      <c r="B12808" t="str">
        <f>"LL0081"</f>
        <v>LL0081</v>
      </c>
      <c r="C12808" t="s">
        <v>12576</v>
      </c>
    </row>
    <row r="12809" spans="1:3" x14ac:dyDescent="0.25">
      <c r="A12809" t="str">
        <f>"0611836540100"</f>
        <v>0611836540100</v>
      </c>
      <c r="B12809" t="str">
        <f>"LL4355"</f>
        <v>LL4355</v>
      </c>
      <c r="C12809" t="s">
        <v>12577</v>
      </c>
    </row>
    <row r="12810" spans="1:3" x14ac:dyDescent="0.25">
      <c r="A12810" t="str">
        <f>"0611836541100"</f>
        <v>0611836541100</v>
      </c>
      <c r="B12810" t="str">
        <f>"LL3902"</f>
        <v>LL3902</v>
      </c>
      <c r="C12810" t="s">
        <v>12578</v>
      </c>
    </row>
    <row r="12811" spans="1:3" x14ac:dyDescent="0.25">
      <c r="A12811" t="str">
        <f>"0611836542100"</f>
        <v>0611836542100</v>
      </c>
      <c r="B12811" t="str">
        <f>"LL0082"</f>
        <v>LL0082</v>
      </c>
      <c r="C12811" t="s">
        <v>12579</v>
      </c>
    </row>
    <row r="12812" spans="1:3" x14ac:dyDescent="0.25">
      <c r="A12812" t="str">
        <f>"0611836544100"</f>
        <v>0611836544100</v>
      </c>
      <c r="B12812" t="str">
        <f>"LL4043"</f>
        <v>LL4043</v>
      </c>
      <c r="C12812" t="s">
        <v>12580</v>
      </c>
    </row>
    <row r="12813" spans="1:3" x14ac:dyDescent="0.25">
      <c r="A12813" t="str">
        <f>"0611836545100"</f>
        <v>0611836545100</v>
      </c>
      <c r="B12813" t="str">
        <f>"LL8101"</f>
        <v>LL8101</v>
      </c>
      <c r="C12813" t="s">
        <v>12581</v>
      </c>
    </row>
    <row r="12814" spans="1:3" x14ac:dyDescent="0.25">
      <c r="A12814" t="str">
        <f>"0611836546100"</f>
        <v>0611836546100</v>
      </c>
      <c r="B12814" t="str">
        <f>"LL8133"</f>
        <v>LL8133</v>
      </c>
      <c r="C12814" t="s">
        <v>12582</v>
      </c>
    </row>
    <row r="12815" spans="1:3" x14ac:dyDescent="0.25">
      <c r="A12815" t="str">
        <f>"0611836547100"</f>
        <v>0611836547100</v>
      </c>
      <c r="B12815" t="str">
        <f>"LL3922"</f>
        <v>LL3922</v>
      </c>
      <c r="C12815" t="s">
        <v>12583</v>
      </c>
    </row>
    <row r="12816" spans="1:3" x14ac:dyDescent="0.25">
      <c r="A12816" t="str">
        <f>"0611836548100"</f>
        <v>0611836548100</v>
      </c>
      <c r="B12816" t="str">
        <f>"LL4406"</f>
        <v>LL4406</v>
      </c>
      <c r="C12816" t="s">
        <v>12584</v>
      </c>
    </row>
    <row r="12817" spans="1:3" x14ac:dyDescent="0.25">
      <c r="A12817" t="str">
        <f>"0611836549100"</f>
        <v>0611836549100</v>
      </c>
      <c r="B12817" t="str">
        <f>"LL0084"</f>
        <v>LL0084</v>
      </c>
      <c r="C12817" t="s">
        <v>12585</v>
      </c>
    </row>
    <row r="12818" spans="1:3" x14ac:dyDescent="0.25">
      <c r="A12818" t="str">
        <f>"0611836552100"</f>
        <v>0611836552100</v>
      </c>
      <c r="B12818" t="str">
        <f>"LL4426"</f>
        <v>LL4426</v>
      </c>
      <c r="C12818" t="s">
        <v>12586</v>
      </c>
    </row>
    <row r="12819" spans="1:3" x14ac:dyDescent="0.25">
      <c r="A12819" t="str">
        <f>"0611836553100"</f>
        <v>0611836553100</v>
      </c>
      <c r="B12819" t="str">
        <f>"LL4436"</f>
        <v>LL4436</v>
      </c>
      <c r="C12819" t="s">
        <v>12587</v>
      </c>
    </row>
    <row r="12820" spans="1:3" x14ac:dyDescent="0.25">
      <c r="A12820" t="str">
        <f>"0611836554200"</f>
        <v>0611836554200</v>
      </c>
      <c r="B12820" t="str">
        <f>"KY4436"</f>
        <v>KY4436</v>
      </c>
      <c r="C12820" t="s">
        <v>12588</v>
      </c>
    </row>
    <row r="12821" spans="1:3" x14ac:dyDescent="0.25">
      <c r="A12821" t="str">
        <f>"0611836555025"</f>
        <v>0611836555025</v>
      </c>
      <c r="B12821" t="str">
        <f>"MC2322"</f>
        <v>MC2322</v>
      </c>
      <c r="C12821" t="s">
        <v>12589</v>
      </c>
    </row>
    <row r="12822" spans="1:3" x14ac:dyDescent="0.25">
      <c r="A12822" t="str">
        <f>"0611836556100"</f>
        <v>0611836556100</v>
      </c>
      <c r="B12822" t="str">
        <f>"LL8334"</f>
        <v>LL8334</v>
      </c>
      <c r="C12822" t="s">
        <v>12590</v>
      </c>
    </row>
    <row r="12823" spans="1:3" x14ac:dyDescent="0.25">
      <c r="A12823" t="str">
        <f>"0611836558100"</f>
        <v>0611836558100</v>
      </c>
      <c r="B12823" t="str">
        <f>"LL4435"</f>
        <v>LL4435</v>
      </c>
      <c r="C12823" t="s">
        <v>12592</v>
      </c>
    </row>
    <row r="12824" spans="1:3" x14ac:dyDescent="0.25">
      <c r="A12824" t="str">
        <f>"0611836559100"</f>
        <v>0611836559100</v>
      </c>
      <c r="B12824" t="str">
        <f>"LL8032"</f>
        <v>LL8032</v>
      </c>
      <c r="C12824" t="s">
        <v>12591</v>
      </c>
    </row>
    <row r="12825" spans="1:3" x14ac:dyDescent="0.25">
      <c r="A12825" t="str">
        <f>"0611836560100"</f>
        <v>0611836560100</v>
      </c>
      <c r="B12825" t="str">
        <f>"LL0085"</f>
        <v>LL0085</v>
      </c>
      <c r="C12825" t="s">
        <v>12593</v>
      </c>
    </row>
    <row r="12826" spans="1:3" x14ac:dyDescent="0.25">
      <c r="A12826" t="str">
        <f>"0611836561100"</f>
        <v>0611836561100</v>
      </c>
      <c r="B12826" t="str">
        <f>"LL4545"</f>
        <v>LL4545</v>
      </c>
      <c r="C12826" t="s">
        <v>12594</v>
      </c>
    </row>
    <row r="12827" spans="1:3" x14ac:dyDescent="0.25">
      <c r="A12827" t="str">
        <f>"0611836562100"</f>
        <v>0611836562100</v>
      </c>
      <c r="B12827" t="str">
        <f>"LL4810"</f>
        <v>LL4810</v>
      </c>
      <c r="C12827" t="s">
        <v>12595</v>
      </c>
    </row>
    <row r="12828" spans="1:3" x14ac:dyDescent="0.25">
      <c r="A12828" t="str">
        <f>"0611836563100"</f>
        <v>0611836563100</v>
      </c>
      <c r="B12828" t="str">
        <f>"LL4863"</f>
        <v>LL4863</v>
      </c>
      <c r="C12828" t="s">
        <v>12596</v>
      </c>
    </row>
    <row r="12829" spans="1:3" x14ac:dyDescent="0.25">
      <c r="A12829" t="str">
        <f>"0611839803100"</f>
        <v>0611839803100</v>
      </c>
      <c r="B12829" t="str">
        <f>"LL8134"</f>
        <v>LL8134</v>
      </c>
      <c r="C12829" t="s">
        <v>12597</v>
      </c>
    </row>
    <row r="12830" spans="1:3" x14ac:dyDescent="0.25">
      <c r="A12830" t="str">
        <f>"0611836564100"</f>
        <v>0611836564100</v>
      </c>
      <c r="B12830" t="str">
        <f>"LL4067"</f>
        <v>LL4067</v>
      </c>
      <c r="C12830" t="s">
        <v>12598</v>
      </c>
    </row>
    <row r="12831" spans="1:3" x14ac:dyDescent="0.25">
      <c r="A12831" t="str">
        <f>"0611836565100"</f>
        <v>0611836565100</v>
      </c>
      <c r="B12831" t="str">
        <f>"LL4439"</f>
        <v>LL4439</v>
      </c>
      <c r="C12831" t="s">
        <v>12599</v>
      </c>
    </row>
    <row r="12832" spans="1:3" x14ac:dyDescent="0.25">
      <c r="A12832" t="str">
        <f>"0611836566100"</f>
        <v>0611836566100</v>
      </c>
      <c r="B12832" t="str">
        <f>"LL5030"</f>
        <v>LL5030</v>
      </c>
      <c r="C12832" t="s">
        <v>12600</v>
      </c>
    </row>
    <row r="12833" spans="1:3" x14ac:dyDescent="0.25">
      <c r="A12833" t="str">
        <f>"0611836567100"</f>
        <v>0611836567100</v>
      </c>
      <c r="B12833" t="str">
        <f>"LL4027"</f>
        <v>LL4027</v>
      </c>
      <c r="C12833" t="s">
        <v>12601</v>
      </c>
    </row>
    <row r="12834" spans="1:3" x14ac:dyDescent="0.25">
      <c r="A12834" t="str">
        <f>"0611857156100"</f>
        <v>0611857156100</v>
      </c>
      <c r="B12834" t="str">
        <f>"LL5054"</f>
        <v>LL5054</v>
      </c>
      <c r="C12834" t="s">
        <v>12602</v>
      </c>
    </row>
    <row r="12835" spans="1:3" x14ac:dyDescent="0.25">
      <c r="A12835" t="str">
        <f>"0611836568100"</f>
        <v>0611836568100</v>
      </c>
      <c r="B12835" t="str">
        <f>"LL4442"</f>
        <v>LL4442</v>
      </c>
      <c r="C12835" t="s">
        <v>12603</v>
      </c>
    </row>
    <row r="12836" spans="1:3" x14ac:dyDescent="0.25">
      <c r="A12836" t="str">
        <f>"0611836569100"</f>
        <v>0611836569100</v>
      </c>
      <c r="B12836" t="str">
        <f>"LL4441"</f>
        <v>LL4441</v>
      </c>
      <c r="C12836" t="s">
        <v>12604</v>
      </c>
    </row>
    <row r="12837" spans="1:3" x14ac:dyDescent="0.25">
      <c r="A12837" t="str">
        <f>"0611836570100"</f>
        <v>0611836570100</v>
      </c>
      <c r="B12837" t="str">
        <f>"LL4026"</f>
        <v>LL4026</v>
      </c>
      <c r="C12837" t="s">
        <v>12605</v>
      </c>
    </row>
    <row r="12838" spans="1:3" x14ac:dyDescent="0.25">
      <c r="A12838" t="str">
        <f>"0611836571100"</f>
        <v>0611836571100</v>
      </c>
      <c r="B12838" t="str">
        <f>"LL4549"</f>
        <v>LL4549</v>
      </c>
      <c r="C12838" t="s">
        <v>12606</v>
      </c>
    </row>
    <row r="12839" spans="1:3" x14ac:dyDescent="0.25">
      <c r="A12839" t="str">
        <f>"0611836572100"</f>
        <v>0611836572100</v>
      </c>
      <c r="B12839" t="str">
        <f>"LL4815"</f>
        <v>LL4815</v>
      </c>
      <c r="C12839" t="s">
        <v>12607</v>
      </c>
    </row>
    <row r="12840" spans="1:3" x14ac:dyDescent="0.25">
      <c r="A12840" t="str">
        <f>"0611836573100"</f>
        <v>0611836573100</v>
      </c>
      <c r="B12840" t="str">
        <f>"LL3994"</f>
        <v>LL3994</v>
      </c>
      <c r="C12840" t="s">
        <v>12608</v>
      </c>
    </row>
    <row r="12841" spans="1:3" x14ac:dyDescent="0.25">
      <c r="A12841" t="str">
        <f>"0611836574100"</f>
        <v>0611836574100</v>
      </c>
      <c r="B12841" t="str">
        <f>"LL4452"</f>
        <v>LL4452</v>
      </c>
      <c r="C12841" t="s">
        <v>12609</v>
      </c>
    </row>
    <row r="12842" spans="1:3" x14ac:dyDescent="0.25">
      <c r="A12842" t="str">
        <f>"0611836575100"</f>
        <v>0611836575100</v>
      </c>
      <c r="B12842" t="str">
        <f>"LL8301"</f>
        <v>LL8301</v>
      </c>
      <c r="C12842" t="s">
        <v>12610</v>
      </c>
    </row>
    <row r="12843" spans="1:3" x14ac:dyDescent="0.25">
      <c r="A12843" t="str">
        <f>"0611836576100"</f>
        <v>0611836576100</v>
      </c>
      <c r="B12843" t="str">
        <f>"LL5031"</f>
        <v>LL5031</v>
      </c>
      <c r="C12843" t="s">
        <v>12611</v>
      </c>
    </row>
    <row r="12844" spans="1:3" x14ac:dyDescent="0.25">
      <c r="A12844" t="str">
        <f>"0611836577100"</f>
        <v>0611836577100</v>
      </c>
      <c r="B12844" t="str">
        <f>"LL1708"</f>
        <v>LL1708</v>
      </c>
      <c r="C12844" t="s">
        <v>12612</v>
      </c>
    </row>
    <row r="12845" spans="1:3" x14ac:dyDescent="0.25">
      <c r="A12845" t="str">
        <f>"0611836578100"</f>
        <v>0611836578100</v>
      </c>
      <c r="B12845" t="str">
        <f>"LL3951"</f>
        <v>LL3951</v>
      </c>
      <c r="C12845" t="s">
        <v>12613</v>
      </c>
    </row>
    <row r="12846" spans="1:3" x14ac:dyDescent="0.25">
      <c r="A12846" t="str">
        <f>"0611857157100"</f>
        <v>0611857157100</v>
      </c>
      <c r="B12846" t="str">
        <f>"LL5055"</f>
        <v>LL5055</v>
      </c>
      <c r="C12846" t="s">
        <v>12614</v>
      </c>
    </row>
    <row r="12847" spans="1:3" x14ac:dyDescent="0.25">
      <c r="A12847" t="str">
        <f>"0611836580100"</f>
        <v>0611836580100</v>
      </c>
      <c r="B12847" t="str">
        <f>"LL4527"</f>
        <v>LL4527</v>
      </c>
      <c r="C12847" t="s">
        <v>12615</v>
      </c>
    </row>
    <row r="12848" spans="1:3" x14ac:dyDescent="0.25">
      <c r="A12848" t="str">
        <f>"0611836581100"</f>
        <v>0611836581100</v>
      </c>
      <c r="B12848" t="str">
        <f>"LL8148"</f>
        <v>LL8148</v>
      </c>
      <c r="C12848" t="s">
        <v>12616</v>
      </c>
    </row>
    <row r="12849" spans="1:3" x14ac:dyDescent="0.25">
      <c r="A12849" t="str">
        <f>"0611836586100"</f>
        <v>0611836586100</v>
      </c>
      <c r="B12849" t="str">
        <f>"LL4534"</f>
        <v>LL4534</v>
      </c>
      <c r="C12849" t="s">
        <v>12621</v>
      </c>
    </row>
    <row r="12850" spans="1:3" x14ac:dyDescent="0.25">
      <c r="A12850" t="str">
        <f>"0611836582100"</f>
        <v>0611836582100</v>
      </c>
      <c r="B12850" t="str">
        <f>"LL8102"</f>
        <v>LL8102</v>
      </c>
      <c r="C12850" t="s">
        <v>12617</v>
      </c>
    </row>
    <row r="12851" spans="1:3" x14ac:dyDescent="0.25">
      <c r="A12851" t="str">
        <f>"0611836583100"</f>
        <v>0611836583100</v>
      </c>
      <c r="B12851" t="str">
        <f>"LL8103"</f>
        <v>LL8103</v>
      </c>
      <c r="C12851" t="s">
        <v>12618</v>
      </c>
    </row>
    <row r="12852" spans="1:3" x14ac:dyDescent="0.25">
      <c r="A12852" t="str">
        <f>"0611836584100"</f>
        <v>0611836584100</v>
      </c>
      <c r="B12852" t="str">
        <f>"LL0036"</f>
        <v>LL0036</v>
      </c>
      <c r="C12852" t="s">
        <v>12619</v>
      </c>
    </row>
    <row r="12853" spans="1:3" x14ac:dyDescent="0.25">
      <c r="A12853" t="str">
        <f>"0611836585100"</f>
        <v>0611836585100</v>
      </c>
      <c r="B12853" t="str">
        <f>"LL0053"</f>
        <v>LL0053</v>
      </c>
      <c r="C12853" t="s">
        <v>12620</v>
      </c>
    </row>
    <row r="12854" spans="1:3" x14ac:dyDescent="0.25">
      <c r="A12854" t="str">
        <f>"0611839804100"</f>
        <v>0611839804100</v>
      </c>
      <c r="B12854" t="str">
        <f>"LL0198"</f>
        <v>LL0198</v>
      </c>
      <c r="C12854" t="s">
        <v>12536</v>
      </c>
    </row>
    <row r="12855" spans="1:3" x14ac:dyDescent="0.25">
      <c r="A12855" t="str">
        <f>"0611836587100"</f>
        <v>0611836587100</v>
      </c>
      <c r="B12855" t="str">
        <f>"LL3945"</f>
        <v>LL3945</v>
      </c>
      <c r="C12855" t="s">
        <v>12622</v>
      </c>
    </row>
    <row r="12856" spans="1:3" x14ac:dyDescent="0.25">
      <c r="A12856" t="str">
        <f>"0611836588100"</f>
        <v>0611836588100</v>
      </c>
      <c r="B12856" t="str">
        <f>"LL8260"</f>
        <v>LL8260</v>
      </c>
      <c r="C12856" t="s">
        <v>12623</v>
      </c>
    </row>
    <row r="12857" spans="1:3" x14ac:dyDescent="0.25">
      <c r="A12857" t="str">
        <f>"0611836589100"</f>
        <v>0611836589100</v>
      </c>
      <c r="B12857" t="str">
        <f>"LL4557"</f>
        <v>LL4557</v>
      </c>
      <c r="C12857" t="s">
        <v>12624</v>
      </c>
    </row>
    <row r="12858" spans="1:3" x14ac:dyDescent="0.25">
      <c r="A12858" t="str">
        <f>"0611836590200"</f>
        <v>0611836590200</v>
      </c>
      <c r="B12858" t="str">
        <f>"KY4557"</f>
        <v>KY4557</v>
      </c>
      <c r="C12858" t="s">
        <v>12625</v>
      </c>
    </row>
    <row r="12859" spans="1:3" x14ac:dyDescent="0.25">
      <c r="A12859" t="str">
        <f>"0611836591100"</f>
        <v>0611836591100</v>
      </c>
      <c r="B12859" t="str">
        <f>"LL4559"</f>
        <v>LL4559</v>
      </c>
      <c r="C12859" t="s">
        <v>12626</v>
      </c>
    </row>
    <row r="12860" spans="1:3" x14ac:dyDescent="0.25">
      <c r="A12860" t="str">
        <f>"0611836592100"</f>
        <v>0611836592100</v>
      </c>
      <c r="B12860" t="str">
        <f>"LL4562"</f>
        <v>LL4562</v>
      </c>
      <c r="C12860" t="s">
        <v>12627</v>
      </c>
    </row>
    <row r="12861" spans="1:3" x14ac:dyDescent="0.25">
      <c r="A12861" t="str">
        <f>"0611836593100"</f>
        <v>0611836593100</v>
      </c>
      <c r="B12861" t="str">
        <f>"LL0017"</f>
        <v>LL0017</v>
      </c>
      <c r="C12861" t="s">
        <v>12628</v>
      </c>
    </row>
    <row r="12862" spans="1:3" x14ac:dyDescent="0.25">
      <c r="A12862" t="str">
        <f>"0611836594100"</f>
        <v>0611836594100</v>
      </c>
      <c r="B12862" t="str">
        <f>"LL4570"</f>
        <v>LL4570</v>
      </c>
      <c r="C12862" t="s">
        <v>12629</v>
      </c>
    </row>
    <row r="12863" spans="1:3" x14ac:dyDescent="0.25">
      <c r="A12863" t="str">
        <f>"0611836595200"</f>
        <v>0611836595200</v>
      </c>
      <c r="B12863" t="str">
        <f>"KY4570"</f>
        <v>KY4570</v>
      </c>
      <c r="C12863" t="s">
        <v>12630</v>
      </c>
    </row>
    <row r="12864" spans="1:3" x14ac:dyDescent="0.25">
      <c r="A12864" t="str">
        <f>"0611836596100"</f>
        <v>0611836596100</v>
      </c>
      <c r="B12864" t="str">
        <f>"LL0199"</f>
        <v>LL0199</v>
      </c>
      <c r="C12864" t="s">
        <v>12631</v>
      </c>
    </row>
    <row r="12865" spans="1:3" x14ac:dyDescent="0.25">
      <c r="A12865" t="str">
        <f>"0611836597100"</f>
        <v>0611836597100</v>
      </c>
      <c r="B12865" t="str">
        <f>"LL4573"</f>
        <v>LL4573</v>
      </c>
      <c r="C12865" t="s">
        <v>12632</v>
      </c>
    </row>
    <row r="12866" spans="1:3" x14ac:dyDescent="0.25">
      <c r="A12866" t="str">
        <f>"0611836598100"</f>
        <v>0611836598100</v>
      </c>
      <c r="B12866" t="str">
        <f>"LL4622"</f>
        <v>LL4622</v>
      </c>
      <c r="C12866" t="s">
        <v>12633</v>
      </c>
    </row>
    <row r="12867" spans="1:3" x14ac:dyDescent="0.25">
      <c r="A12867" t="str">
        <f>"0611839805100"</f>
        <v>0611839805100</v>
      </c>
      <c r="B12867" t="str">
        <f>"LL3996"</f>
        <v>LL3996</v>
      </c>
      <c r="C12867" t="s">
        <v>12634</v>
      </c>
    </row>
    <row r="12868" spans="1:3" x14ac:dyDescent="0.25">
      <c r="A12868" t="str">
        <f>"0611836599100"</f>
        <v>0611836599100</v>
      </c>
      <c r="B12868" t="str">
        <f>"LL8033"</f>
        <v>LL8033</v>
      </c>
      <c r="C12868" t="s">
        <v>12635</v>
      </c>
    </row>
    <row r="12869" spans="1:3" x14ac:dyDescent="0.25">
      <c r="A12869" t="str">
        <f>"0611836600100"</f>
        <v>0611836600100</v>
      </c>
      <c r="B12869" t="str">
        <f>"LL8106"</f>
        <v>LL8106</v>
      </c>
      <c r="C12869" t="s">
        <v>12636</v>
      </c>
    </row>
    <row r="12870" spans="1:3" x14ac:dyDescent="0.25">
      <c r="A12870" t="str">
        <f>"0611836601100"</f>
        <v>0611836601100</v>
      </c>
      <c r="B12870" t="str">
        <f>"LL3997"</f>
        <v>LL3997</v>
      </c>
      <c r="C12870" t="s">
        <v>12637</v>
      </c>
    </row>
    <row r="12871" spans="1:3" x14ac:dyDescent="0.25">
      <c r="A12871" t="str">
        <f>"0611836602100"</f>
        <v>0611836602100</v>
      </c>
      <c r="B12871" t="str">
        <f>"LL4630"</f>
        <v>LL4630</v>
      </c>
      <c r="C12871" t="s">
        <v>12638</v>
      </c>
    </row>
    <row r="12872" spans="1:3" x14ac:dyDescent="0.25">
      <c r="A12872" t="str">
        <f>"0611836603100"</f>
        <v>0611836603100</v>
      </c>
      <c r="B12872" t="str">
        <f>"LL4819"</f>
        <v>LL4819</v>
      </c>
      <c r="C12872" t="s">
        <v>12639</v>
      </c>
    </row>
    <row r="12873" spans="1:3" x14ac:dyDescent="0.25">
      <c r="A12873" t="str">
        <f>"0611836604100"</f>
        <v>0611836604100</v>
      </c>
      <c r="B12873" t="str">
        <f>"LL0054"</f>
        <v>LL0054</v>
      </c>
      <c r="C12873" t="s">
        <v>12640</v>
      </c>
    </row>
    <row r="12874" spans="1:3" x14ac:dyDescent="0.25">
      <c r="A12874" t="str">
        <f>"0611836605100"</f>
        <v>0611836605100</v>
      </c>
      <c r="B12874" t="str">
        <f>"LL8326"</f>
        <v>LL8326</v>
      </c>
      <c r="C12874" t="s">
        <v>12641</v>
      </c>
    </row>
    <row r="12875" spans="1:3" x14ac:dyDescent="0.25">
      <c r="A12875" t="str">
        <f>"0611836606100"</f>
        <v>0611836606100</v>
      </c>
      <c r="B12875" t="str">
        <f>"LL4831"</f>
        <v>LL4831</v>
      </c>
      <c r="C12875" t="s">
        <v>12642</v>
      </c>
    </row>
    <row r="12876" spans="1:3" x14ac:dyDescent="0.25">
      <c r="A12876" t="str">
        <f>"0611836607100"</f>
        <v>0611836607100</v>
      </c>
      <c r="B12876" t="str">
        <f>"LL8262"</f>
        <v>LL8262</v>
      </c>
      <c r="C12876" t="s">
        <v>12643</v>
      </c>
    </row>
    <row r="12877" spans="1:3" x14ac:dyDescent="0.25">
      <c r="A12877" t="str">
        <f>"0611839807100"</f>
        <v>0611839807100</v>
      </c>
      <c r="B12877" t="str">
        <f>"LL4078"</f>
        <v>LL4078</v>
      </c>
      <c r="C12877" t="s">
        <v>12644</v>
      </c>
    </row>
    <row r="12878" spans="1:3" x14ac:dyDescent="0.25">
      <c r="A12878" t="str">
        <f>"0611836609100"</f>
        <v>0611836609100</v>
      </c>
      <c r="B12878" t="str">
        <f>"LL0047"</f>
        <v>LL0047</v>
      </c>
      <c r="C12878" t="s">
        <v>12645</v>
      </c>
    </row>
    <row r="12879" spans="1:3" x14ac:dyDescent="0.25">
      <c r="A12879" t="str">
        <f>"0611836610100"</f>
        <v>0611836610100</v>
      </c>
      <c r="B12879" t="str">
        <f>"LL8263"</f>
        <v>LL8263</v>
      </c>
      <c r="C12879" t="s">
        <v>12646</v>
      </c>
    </row>
    <row r="12880" spans="1:3" x14ac:dyDescent="0.25">
      <c r="A12880" t="str">
        <f>"0611857158100"</f>
        <v>0611857158100</v>
      </c>
      <c r="B12880" t="str">
        <f>"LL5060"</f>
        <v>LL5060</v>
      </c>
      <c r="C12880" t="s">
        <v>12647</v>
      </c>
    </row>
    <row r="12881" spans="1:3" x14ac:dyDescent="0.25">
      <c r="A12881" t="str">
        <f>"0611836611100"</f>
        <v>0611836611100</v>
      </c>
      <c r="B12881" t="str">
        <f>"LL3911"</f>
        <v>LL3911</v>
      </c>
      <c r="C12881" t="s">
        <v>12648</v>
      </c>
    </row>
    <row r="12882" spans="1:3" x14ac:dyDescent="0.25">
      <c r="A12882" t="str">
        <f>"0611836613100"</f>
        <v>0611836613100</v>
      </c>
      <c r="B12882" t="str">
        <f>"LL3954"</f>
        <v>LL3954</v>
      </c>
      <c r="C12882" t="s">
        <v>12649</v>
      </c>
    </row>
    <row r="12883" spans="1:3" x14ac:dyDescent="0.25">
      <c r="A12883" t="str">
        <f>"0611836614100"</f>
        <v>0611836614100</v>
      </c>
      <c r="B12883" t="str">
        <f>"LL3910"</f>
        <v>LL3910</v>
      </c>
      <c r="C12883" t="s">
        <v>12650</v>
      </c>
    </row>
    <row r="12884" spans="1:3" x14ac:dyDescent="0.25">
      <c r="A12884" t="str">
        <f>"0611836616100"</f>
        <v>0611836616100</v>
      </c>
      <c r="B12884" t="str">
        <f>"LL8264"</f>
        <v>LL8264</v>
      </c>
      <c r="C12884" t="s">
        <v>12651</v>
      </c>
    </row>
    <row r="12885" spans="1:3" x14ac:dyDescent="0.25">
      <c r="A12885" t="str">
        <f>"0611836617100"</f>
        <v>0611836617100</v>
      </c>
      <c r="B12885" t="str">
        <f>"LL4046"</f>
        <v>LL4046</v>
      </c>
      <c r="C12885" t="s">
        <v>12652</v>
      </c>
    </row>
    <row r="12886" spans="1:3" x14ac:dyDescent="0.25">
      <c r="A12886" t="str">
        <f>"0611836618100"</f>
        <v>0611836618100</v>
      </c>
      <c r="B12886" t="str">
        <f>"LL4656"</f>
        <v>LL4656</v>
      </c>
      <c r="C12886" t="s">
        <v>12653</v>
      </c>
    </row>
    <row r="12887" spans="1:3" x14ac:dyDescent="0.25">
      <c r="A12887" t="str">
        <f>"0611839808100"</f>
        <v>0611839808100</v>
      </c>
      <c r="B12887" t="str">
        <f>"LL8327"</f>
        <v>LL8327</v>
      </c>
      <c r="C12887" t="s">
        <v>12654</v>
      </c>
    </row>
    <row r="12888" spans="1:3" x14ac:dyDescent="0.25">
      <c r="A12888" t="str">
        <f>"0611857159100"</f>
        <v>0611857159100</v>
      </c>
      <c r="B12888" t="str">
        <f>"LL5056"</f>
        <v>LL5056</v>
      </c>
      <c r="C12888" t="s">
        <v>12655</v>
      </c>
    </row>
    <row r="12889" spans="1:3" x14ac:dyDescent="0.25">
      <c r="A12889" t="str">
        <f>"0611836619100"</f>
        <v>0611836619100</v>
      </c>
      <c r="B12889" t="str">
        <f>"LL3955"</f>
        <v>LL3955</v>
      </c>
      <c r="C12889" t="s">
        <v>12656</v>
      </c>
    </row>
    <row r="12890" spans="1:3" x14ac:dyDescent="0.25">
      <c r="A12890" t="str">
        <f>"0611836620100"</f>
        <v>0611836620100</v>
      </c>
      <c r="B12890" t="str">
        <f>"LL3932"</f>
        <v>LL3932</v>
      </c>
      <c r="C12890" t="s">
        <v>12657</v>
      </c>
    </row>
    <row r="12891" spans="1:3" x14ac:dyDescent="0.25">
      <c r="A12891" t="str">
        <f>"0611836621100"</f>
        <v>0611836621100</v>
      </c>
      <c r="B12891" t="str">
        <f>"LL4658"</f>
        <v>LL4658</v>
      </c>
      <c r="C12891" t="s">
        <v>12658</v>
      </c>
    </row>
    <row r="12892" spans="1:3" x14ac:dyDescent="0.25">
      <c r="A12892" t="str">
        <f>"0611836622100"</f>
        <v>0611836622100</v>
      </c>
      <c r="B12892" t="str">
        <f>"LL4660"</f>
        <v>LL4660</v>
      </c>
      <c r="C12892" t="s">
        <v>12659</v>
      </c>
    </row>
    <row r="12893" spans="1:3" x14ac:dyDescent="0.25">
      <c r="A12893" t="str">
        <f>"0611836623100"</f>
        <v>0611836623100</v>
      </c>
      <c r="B12893" t="str">
        <f>"LL8107"</f>
        <v>LL8107</v>
      </c>
      <c r="C12893" t="s">
        <v>12660</v>
      </c>
    </row>
    <row r="12894" spans="1:3" x14ac:dyDescent="0.25">
      <c r="A12894" t="str">
        <f>"0611836624100"</f>
        <v>0611836624100</v>
      </c>
      <c r="B12894" t="str">
        <f>"LL4663"</f>
        <v>LL4663</v>
      </c>
      <c r="C12894" t="s">
        <v>12661</v>
      </c>
    </row>
    <row r="12895" spans="1:3" x14ac:dyDescent="0.25">
      <c r="A12895" t="str">
        <f>"0611836626100"</f>
        <v>0611836626100</v>
      </c>
      <c r="B12895" t="str">
        <f>"LL4667"</f>
        <v>LL4667</v>
      </c>
      <c r="C12895" t="s">
        <v>12662</v>
      </c>
    </row>
    <row r="12896" spans="1:3" x14ac:dyDescent="0.25">
      <c r="A12896" t="str">
        <f>"0611836627200"</f>
        <v>0611836627200</v>
      </c>
      <c r="B12896" t="str">
        <f>"KY4667"</f>
        <v>KY4667</v>
      </c>
      <c r="C12896" t="s">
        <v>12663</v>
      </c>
    </row>
    <row r="12897" spans="1:3" x14ac:dyDescent="0.25">
      <c r="A12897" t="str">
        <f>"0611836628100"</f>
        <v>0611836628100</v>
      </c>
      <c r="B12897" t="str">
        <f>"LL4669"</f>
        <v>LL4669</v>
      </c>
      <c r="C12897" t="s">
        <v>12664</v>
      </c>
    </row>
    <row r="12898" spans="1:3" x14ac:dyDescent="0.25">
      <c r="A12898" t="str">
        <f>"0611836629100"</f>
        <v>0611836629100</v>
      </c>
      <c r="B12898" t="str">
        <f>"LL4670"</f>
        <v>LL4670</v>
      </c>
      <c r="C12898" t="s">
        <v>12665</v>
      </c>
    </row>
    <row r="12899" spans="1:3" x14ac:dyDescent="0.25">
      <c r="A12899" t="str">
        <f>"0611836630100"</f>
        <v>0611836630100</v>
      </c>
      <c r="B12899" t="str">
        <f>"LL8135"</f>
        <v>LL8135</v>
      </c>
      <c r="C12899" t="s">
        <v>12666</v>
      </c>
    </row>
    <row r="12900" spans="1:3" x14ac:dyDescent="0.25">
      <c r="A12900" t="str">
        <f>"0611836631100"</f>
        <v>0611836631100</v>
      </c>
      <c r="B12900" t="str">
        <f>"LL4679"</f>
        <v>LL4679</v>
      </c>
      <c r="C12900" t="s">
        <v>12667</v>
      </c>
    </row>
    <row r="12901" spans="1:3" x14ac:dyDescent="0.25">
      <c r="A12901" t="str">
        <f>"0611836632200"</f>
        <v>0611836632200</v>
      </c>
      <c r="B12901" t="str">
        <f>"KY4679"</f>
        <v>KY4679</v>
      </c>
      <c r="C12901" t="s">
        <v>12668</v>
      </c>
    </row>
    <row r="12902" spans="1:3" x14ac:dyDescent="0.25">
      <c r="A12902" t="str">
        <f>"0611836633100"</f>
        <v>0611836633100</v>
      </c>
      <c r="B12902" t="str">
        <f>"LL4011"</f>
        <v>LL4011</v>
      </c>
      <c r="C12902" t="s">
        <v>12669</v>
      </c>
    </row>
    <row r="12903" spans="1:3" x14ac:dyDescent="0.25">
      <c r="A12903" t="str">
        <f>"0611836634100"</f>
        <v>0611836634100</v>
      </c>
      <c r="B12903" t="str">
        <f>"LL4047"</f>
        <v>LL4047</v>
      </c>
      <c r="C12903" t="s">
        <v>12670</v>
      </c>
    </row>
    <row r="12904" spans="1:3" x14ac:dyDescent="0.25">
      <c r="A12904" t="str">
        <f>"0611836635100"</f>
        <v>0611836635100</v>
      </c>
      <c r="B12904" t="str">
        <f>"LC9604"</f>
        <v>LC9604</v>
      </c>
      <c r="C12904" t="s">
        <v>12671</v>
      </c>
    </row>
    <row r="12905" spans="1:3" x14ac:dyDescent="0.25">
      <c r="A12905" t="str">
        <f>"0611836636100"</f>
        <v>0611836636100</v>
      </c>
      <c r="B12905" t="str">
        <f>"LL4048"</f>
        <v>LL4048</v>
      </c>
      <c r="C12905" t="s">
        <v>12672</v>
      </c>
    </row>
    <row r="12906" spans="1:3" x14ac:dyDescent="0.25">
      <c r="A12906" t="str">
        <f>"0611836637100"</f>
        <v>0611836637100</v>
      </c>
      <c r="B12906" t="str">
        <f>"LL4678"</f>
        <v>LL4678</v>
      </c>
      <c r="C12906" t="s">
        <v>12673</v>
      </c>
    </row>
    <row r="12907" spans="1:3" x14ac:dyDescent="0.25">
      <c r="A12907" t="str">
        <f>"0611836638100"</f>
        <v>0611836638100</v>
      </c>
      <c r="B12907" t="str">
        <f>"LL4847"</f>
        <v>LL4847</v>
      </c>
      <c r="C12907" t="s">
        <v>12674</v>
      </c>
    </row>
    <row r="12908" spans="1:3" x14ac:dyDescent="0.25">
      <c r="A12908" t="str">
        <f>"0611836639100"</f>
        <v>0611836639100</v>
      </c>
      <c r="B12908" t="str">
        <f>"LL4848"</f>
        <v>LL4848</v>
      </c>
      <c r="C12908" t="s">
        <v>12675</v>
      </c>
    </row>
    <row r="12909" spans="1:3" x14ac:dyDescent="0.25">
      <c r="A12909" t="str">
        <f>"0611836640100"</f>
        <v>0611836640100</v>
      </c>
      <c r="B12909" t="str">
        <f>"LL4849"</f>
        <v>LL4849</v>
      </c>
      <c r="C12909" t="s">
        <v>12676</v>
      </c>
    </row>
    <row r="12910" spans="1:3" x14ac:dyDescent="0.25">
      <c r="A12910" t="str">
        <f>"0611836642100"</f>
        <v>0611836642100</v>
      </c>
      <c r="B12910" t="str">
        <f>"LL0086"</f>
        <v>LL0086</v>
      </c>
      <c r="C12910" t="s">
        <v>12677</v>
      </c>
    </row>
    <row r="12911" spans="1:3" x14ac:dyDescent="0.25">
      <c r="A12911" t="str">
        <f>"0611836643100"</f>
        <v>0611836643100</v>
      </c>
      <c r="B12911" t="str">
        <f>"LL0087"</f>
        <v>LL0087</v>
      </c>
      <c r="C12911" t="s">
        <v>12678</v>
      </c>
    </row>
    <row r="12912" spans="1:3" x14ac:dyDescent="0.25">
      <c r="A12912" t="str">
        <f>"0611836644100"</f>
        <v>0611836644100</v>
      </c>
      <c r="B12912" t="str">
        <f>"LL0037"</f>
        <v>LL0037</v>
      </c>
      <c r="C12912" t="s">
        <v>12679</v>
      </c>
    </row>
    <row r="12913" spans="1:3" x14ac:dyDescent="0.25">
      <c r="A12913" t="str">
        <f>"0611836645100"</f>
        <v>0611836645100</v>
      </c>
      <c r="B12913" t="str">
        <f>"LL3912"</f>
        <v>LL3912</v>
      </c>
      <c r="C12913" t="s">
        <v>12680</v>
      </c>
    </row>
    <row r="12914" spans="1:3" x14ac:dyDescent="0.25">
      <c r="A12914" t="str">
        <f>"0611836646100"</f>
        <v>0611836646100</v>
      </c>
      <c r="B12914" t="str">
        <f>"LL0088"</f>
        <v>LL0088</v>
      </c>
      <c r="C12914" t="s">
        <v>12681</v>
      </c>
    </row>
    <row r="12915" spans="1:3" x14ac:dyDescent="0.25">
      <c r="A12915" t="str">
        <f>"0611836647100"</f>
        <v>0611836647100</v>
      </c>
      <c r="B12915" t="str">
        <f>"LL4871"</f>
        <v>LL4871</v>
      </c>
      <c r="C12915" t="s">
        <v>12682</v>
      </c>
    </row>
    <row r="12916" spans="1:3" x14ac:dyDescent="0.25">
      <c r="A12916" t="str">
        <f>"0611836648100"</f>
        <v>0611836648100</v>
      </c>
      <c r="B12916" t="str">
        <f>"LL0018"</f>
        <v>LL0018</v>
      </c>
      <c r="C12916" t="s">
        <v>12683</v>
      </c>
    </row>
    <row r="12917" spans="1:3" x14ac:dyDescent="0.25">
      <c r="A12917" t="str">
        <f>"0611836649100"</f>
        <v>0611836649100</v>
      </c>
      <c r="B12917" t="str">
        <f>"LL8266"</f>
        <v>LL8266</v>
      </c>
      <c r="C12917" t="s">
        <v>12684</v>
      </c>
    </row>
    <row r="12918" spans="1:3" x14ac:dyDescent="0.25">
      <c r="A12918" t="str">
        <f>"0611836650100"</f>
        <v>0611836650100</v>
      </c>
      <c r="B12918" t="str">
        <f>"LL4715"</f>
        <v>LL4715</v>
      </c>
      <c r="C12918" t="s">
        <v>12685</v>
      </c>
    </row>
    <row r="12919" spans="1:3" x14ac:dyDescent="0.25">
      <c r="A12919" t="str">
        <f>"0611836654100"</f>
        <v>0611836654100</v>
      </c>
      <c r="B12919" t="str">
        <f>"LL8035"</f>
        <v>LL8035</v>
      </c>
      <c r="C12919" t="s">
        <v>12388</v>
      </c>
    </row>
    <row r="12920" spans="1:3" x14ac:dyDescent="0.25">
      <c r="A12920" t="str">
        <f>"0611836655100"</f>
        <v>0611836655100</v>
      </c>
      <c r="B12920" t="str">
        <f>"LL8065"</f>
        <v>LL8065</v>
      </c>
      <c r="C12920" t="s">
        <v>12686</v>
      </c>
    </row>
    <row r="12921" spans="1:3" x14ac:dyDescent="0.25">
      <c r="A12921" t="str">
        <f>"0611836656100"</f>
        <v>0611836656100</v>
      </c>
      <c r="B12921" t="str">
        <f>"LL4850"</f>
        <v>LL4850</v>
      </c>
      <c r="C12921" t="s">
        <v>12687</v>
      </c>
    </row>
    <row r="12922" spans="1:3" x14ac:dyDescent="0.25">
      <c r="A12922" t="str">
        <f>"0611836657100"</f>
        <v>0611836657100</v>
      </c>
      <c r="B12922" t="str">
        <f>"LL4730"</f>
        <v>LL4730</v>
      </c>
      <c r="C12922" t="s">
        <v>12688</v>
      </c>
    </row>
    <row r="12923" spans="1:3" x14ac:dyDescent="0.25">
      <c r="A12923" t="str">
        <f>"0611836659100"</f>
        <v>0611836659100</v>
      </c>
      <c r="B12923" t="str">
        <f>"LL4052"</f>
        <v>LL4052</v>
      </c>
      <c r="C12923" t="s">
        <v>12689</v>
      </c>
    </row>
    <row r="12924" spans="1:3" x14ac:dyDescent="0.25">
      <c r="A12924" t="str">
        <f>"0611836660100"</f>
        <v>0611836660100</v>
      </c>
      <c r="B12924" t="str">
        <f>"LL4053"</f>
        <v>LL4053</v>
      </c>
      <c r="C12924" t="s">
        <v>12690</v>
      </c>
    </row>
    <row r="12925" spans="1:3" x14ac:dyDescent="0.25">
      <c r="A12925" t="str">
        <f>"0611836661100"</f>
        <v>0611836661100</v>
      </c>
      <c r="B12925" t="str">
        <f>"LL5032"</f>
        <v>LL5032</v>
      </c>
      <c r="C12925" t="s">
        <v>12691</v>
      </c>
    </row>
    <row r="12926" spans="1:3" x14ac:dyDescent="0.25">
      <c r="A12926" t="str">
        <f>"0611836662100"</f>
        <v>0611836662100</v>
      </c>
      <c r="B12926" t="str">
        <f>"LL5033"</f>
        <v>LL5033</v>
      </c>
      <c r="C12926" t="s">
        <v>12692</v>
      </c>
    </row>
    <row r="12927" spans="1:3" x14ac:dyDescent="0.25">
      <c r="A12927" t="str">
        <f>"0611836663100"</f>
        <v>0611836663100</v>
      </c>
      <c r="B12927" t="str">
        <f>"LL5034"</f>
        <v>LL5034</v>
      </c>
      <c r="C12927" t="s">
        <v>12693</v>
      </c>
    </row>
    <row r="12928" spans="1:3" x14ac:dyDescent="0.25">
      <c r="A12928" t="str">
        <f>"0611836664100"</f>
        <v>0611836664100</v>
      </c>
      <c r="B12928" t="str">
        <f>"LL8267"</f>
        <v>LL8267</v>
      </c>
      <c r="C12928" t="s">
        <v>12694</v>
      </c>
    </row>
    <row r="12929" spans="1:3" x14ac:dyDescent="0.25">
      <c r="A12929" t="str">
        <f>"0611836665100"</f>
        <v>0611836665100</v>
      </c>
      <c r="B12929" t="str">
        <f>"LL0089"</f>
        <v>LL0089</v>
      </c>
      <c r="C12929" t="s">
        <v>12695</v>
      </c>
    </row>
    <row r="12930" spans="1:3" x14ac:dyDescent="0.25">
      <c r="A12930" t="str">
        <f>"0611836666100"</f>
        <v>0611836666100</v>
      </c>
      <c r="B12930" t="str">
        <f>"LL4802"</f>
        <v>LL4802</v>
      </c>
      <c r="C12930" t="s">
        <v>12696</v>
      </c>
    </row>
    <row r="12931" spans="1:3" x14ac:dyDescent="0.25">
      <c r="A12931" t="str">
        <f>"0611836667100"</f>
        <v>0611836667100</v>
      </c>
      <c r="B12931" t="str">
        <f>"LL0101"</f>
        <v>LL0101</v>
      </c>
      <c r="C12931" t="s">
        <v>12697</v>
      </c>
    </row>
    <row r="12932" spans="1:3" x14ac:dyDescent="0.25">
      <c r="A12932" t="str">
        <f>"0611836668100"</f>
        <v>0611836668100</v>
      </c>
      <c r="B12932" t="str">
        <f>"LL0038"</f>
        <v>LL0038</v>
      </c>
      <c r="C12932" t="s">
        <v>12698</v>
      </c>
    </row>
    <row r="12933" spans="1:3" x14ac:dyDescent="0.25">
      <c r="A12933" t="str">
        <f>"0611836670100"</f>
        <v>0611836670100</v>
      </c>
      <c r="B12933" t="str">
        <f>"LL5035"</f>
        <v>LL5035</v>
      </c>
      <c r="C12933" t="s">
        <v>12699</v>
      </c>
    </row>
    <row r="12934" spans="1:3" x14ac:dyDescent="0.25">
      <c r="A12934" t="str">
        <f>"0611836671100"</f>
        <v>0611836671100</v>
      </c>
      <c r="B12934" t="str">
        <f>"LL3899"</f>
        <v>LL3899</v>
      </c>
      <c r="C12934" t="s">
        <v>12700</v>
      </c>
    </row>
    <row r="12935" spans="1:3" x14ac:dyDescent="0.25">
      <c r="A12935" t="str">
        <f>"0611836672100"</f>
        <v>0611836672100</v>
      </c>
      <c r="B12935" t="str">
        <f>"LL0039"</f>
        <v>LL0039</v>
      </c>
      <c r="C12935" t="s">
        <v>12701</v>
      </c>
    </row>
    <row r="12936" spans="1:3" x14ac:dyDescent="0.25">
      <c r="A12936" t="str">
        <f>"0611857160100"</f>
        <v>0611857160100</v>
      </c>
      <c r="B12936" t="str">
        <f>"LL5050"</f>
        <v>LL5050</v>
      </c>
      <c r="C12936" t="s">
        <v>12702</v>
      </c>
    </row>
    <row r="12937" spans="1:3" x14ac:dyDescent="0.25">
      <c r="A12937" t="str">
        <f>"0611836673100"</f>
        <v>0611836673100</v>
      </c>
      <c r="B12937" t="str">
        <f>"LL3974"</f>
        <v>LL3974</v>
      </c>
      <c r="C12937" t="s">
        <v>12703</v>
      </c>
    </row>
    <row r="12938" spans="1:3" x14ac:dyDescent="0.25">
      <c r="A12938" t="str">
        <f>"0611836674100"</f>
        <v>0611836674100</v>
      </c>
      <c r="B12938" t="str">
        <f>"LL4778"</f>
        <v>LL4778</v>
      </c>
      <c r="C12938" t="s">
        <v>12704</v>
      </c>
    </row>
    <row r="12939" spans="1:3" x14ac:dyDescent="0.25">
      <c r="A12939" t="str">
        <f>"0611836675100"</f>
        <v>0611836675100</v>
      </c>
      <c r="B12939" t="str">
        <f>"LL8066"</f>
        <v>LL8066</v>
      </c>
      <c r="C12939" t="s">
        <v>12705</v>
      </c>
    </row>
    <row r="12940" spans="1:3" x14ac:dyDescent="0.25">
      <c r="A12940" t="str">
        <f>"0611836676100"</f>
        <v>0611836676100</v>
      </c>
      <c r="B12940" t="str">
        <f>"LL4012"</f>
        <v>LL4012</v>
      </c>
      <c r="C12940" t="s">
        <v>12706</v>
      </c>
    </row>
    <row r="12941" spans="1:3" x14ac:dyDescent="0.25">
      <c r="A12941" t="str">
        <f>"0611836677100"</f>
        <v>0611836677100</v>
      </c>
      <c r="B12941" t="str">
        <f>"LL4779"</f>
        <v>LL4779</v>
      </c>
      <c r="C12941" t="s">
        <v>12707</v>
      </c>
    </row>
    <row r="12942" spans="1:3" x14ac:dyDescent="0.25">
      <c r="A12942" t="str">
        <f>"0611906991100"</f>
        <v>0611906991100</v>
      </c>
      <c r="B12942" t="str">
        <f>"LL8348"</f>
        <v>LL8348</v>
      </c>
      <c r="C12942" t="s">
        <v>12708</v>
      </c>
    </row>
    <row r="12943" spans="1:3" x14ac:dyDescent="0.25">
      <c r="A12943" t="str">
        <f>"0611836679100"</f>
        <v>0611836679100</v>
      </c>
      <c r="B12943" t="str">
        <f>"LL3925"</f>
        <v>LL3925</v>
      </c>
      <c r="C12943" t="s">
        <v>12709</v>
      </c>
    </row>
    <row r="12944" spans="1:3" x14ac:dyDescent="0.25">
      <c r="A12944" t="str">
        <f>"0611836678100"</f>
        <v>0611836678100</v>
      </c>
      <c r="B12944" t="str">
        <f>"LL8108"</f>
        <v>LL8108</v>
      </c>
      <c r="C12944" t="s">
        <v>12710</v>
      </c>
    </row>
    <row r="12945" spans="1:3" x14ac:dyDescent="0.25">
      <c r="A12945" t="str">
        <f>"0611836680100"</f>
        <v>0611836680100</v>
      </c>
      <c r="B12945" t="str">
        <f>"LL4376"</f>
        <v>LL4376</v>
      </c>
      <c r="C12945" t="s">
        <v>12711</v>
      </c>
    </row>
    <row r="12946" spans="1:3" x14ac:dyDescent="0.25">
      <c r="A12946" t="str">
        <f>"0611884304100"</f>
        <v>0611884304100</v>
      </c>
      <c r="B12946" t="str">
        <f>"LL5068"</f>
        <v>LL5068</v>
      </c>
      <c r="C12946" t="s">
        <v>7753</v>
      </c>
    </row>
    <row r="12947" spans="1:3" x14ac:dyDescent="0.25">
      <c r="A12947" t="str">
        <f>"0611839845100"</f>
        <v>0611839845100</v>
      </c>
      <c r="B12947" t="str">
        <f>"LS0120"</f>
        <v>LS0120</v>
      </c>
      <c r="C12947" t="s">
        <v>12718</v>
      </c>
    </row>
    <row r="12948" spans="1:3" x14ac:dyDescent="0.25">
      <c r="A12948" t="str">
        <f>"0611839811100"</f>
        <v>0611839811100</v>
      </c>
      <c r="B12948" t="str">
        <f>"LB9123"</f>
        <v>LB9123</v>
      </c>
      <c r="C12948" t="s">
        <v>12712</v>
      </c>
    </row>
    <row r="12949" spans="1:3" x14ac:dyDescent="0.25">
      <c r="A12949" t="str">
        <f>"0611839812100"</f>
        <v>0611839812100</v>
      </c>
      <c r="B12949" t="str">
        <f>"LK0418"</f>
        <v>LK0418</v>
      </c>
      <c r="C12949" t="s">
        <v>12713</v>
      </c>
    </row>
    <row r="12950" spans="1:3" x14ac:dyDescent="0.25">
      <c r="A12950" t="str">
        <f>"0611839813100"</f>
        <v>0611839813100</v>
      </c>
      <c r="B12950" t="str">
        <f>"LB9124"</f>
        <v>LB9124</v>
      </c>
      <c r="C12950" t="s">
        <v>12714</v>
      </c>
    </row>
    <row r="12951" spans="1:3" x14ac:dyDescent="0.25">
      <c r="A12951" t="str">
        <f>"0611839814100"</f>
        <v>0611839814100</v>
      </c>
      <c r="B12951" t="str">
        <f>"LB9126"</f>
        <v>LB9126</v>
      </c>
      <c r="C12951" t="s">
        <v>12715</v>
      </c>
    </row>
    <row r="12952" spans="1:3" x14ac:dyDescent="0.25">
      <c r="A12952" t="str">
        <f>"0611839815100"</f>
        <v>0611839815100</v>
      </c>
      <c r="B12952" t="str">
        <f>"LB9127"</f>
        <v>LB9127</v>
      </c>
      <c r="C12952" t="s">
        <v>12716</v>
      </c>
    </row>
    <row r="12953" spans="1:3" x14ac:dyDescent="0.25">
      <c r="A12953" t="str">
        <f>"0611839846100"</f>
        <v>0611839846100</v>
      </c>
      <c r="B12953" t="str">
        <f>"MB8500"</f>
        <v>MB8500</v>
      </c>
      <c r="C12953" t="s">
        <v>12717</v>
      </c>
    </row>
    <row r="12954" spans="1:3" x14ac:dyDescent="0.25">
      <c r="A12954" t="str">
        <f>"0611839819100"</f>
        <v>0611839819100</v>
      </c>
      <c r="B12954" t="str">
        <f>"LK7035"</f>
        <v>LK7035</v>
      </c>
      <c r="C12954" t="s">
        <v>12721</v>
      </c>
    </row>
    <row r="12955" spans="1:3" x14ac:dyDescent="0.25">
      <c r="A12955" t="str">
        <f>"0611857161100"</f>
        <v>0611857161100</v>
      </c>
      <c r="B12955" t="str">
        <f>"LK7104"</f>
        <v>LK7104</v>
      </c>
      <c r="C12955" t="s">
        <v>12719</v>
      </c>
    </row>
    <row r="12956" spans="1:3" x14ac:dyDescent="0.25">
      <c r="A12956" t="str">
        <f>"0611839820100"</f>
        <v>0611839820100</v>
      </c>
      <c r="B12956" t="str">
        <f>"LK7036"</f>
        <v>LK7036</v>
      </c>
      <c r="C12956" t="s">
        <v>12720</v>
      </c>
    </row>
    <row r="12957" spans="1:3" x14ac:dyDescent="0.25">
      <c r="A12957" t="str">
        <f>"0611839821100"</f>
        <v>0611839821100</v>
      </c>
      <c r="B12957" t="str">
        <f>"LK7037"</f>
        <v>LK7037</v>
      </c>
      <c r="C12957" t="s">
        <v>12722</v>
      </c>
    </row>
    <row r="12958" spans="1:3" x14ac:dyDescent="0.25">
      <c r="A12958" t="str">
        <f>"0611839822100"</f>
        <v>0611839822100</v>
      </c>
      <c r="B12958" t="str">
        <f>"LK7038"</f>
        <v>LK7038</v>
      </c>
      <c r="C12958" t="s">
        <v>12723</v>
      </c>
    </row>
    <row r="12959" spans="1:3" x14ac:dyDescent="0.25">
      <c r="A12959" t="str">
        <f>"0611839823100"</f>
        <v>0611839823100</v>
      </c>
      <c r="B12959" t="str">
        <f>"LK7039"</f>
        <v>LK7039</v>
      </c>
      <c r="C12959" t="s">
        <v>12724</v>
      </c>
    </row>
    <row r="12960" spans="1:3" x14ac:dyDescent="0.25">
      <c r="A12960" t="str">
        <f>"0611839824100"</f>
        <v>0611839824100</v>
      </c>
      <c r="B12960" t="str">
        <f>"LK7040"</f>
        <v>LK7040</v>
      </c>
      <c r="C12960" t="s">
        <v>12725</v>
      </c>
    </row>
    <row r="12961" spans="1:3" x14ac:dyDescent="0.25">
      <c r="A12961" t="str">
        <f>"0611884488100"</f>
        <v>0611884488100</v>
      </c>
      <c r="B12961" t="str">
        <f>"LK7180"</f>
        <v>LK7180</v>
      </c>
      <c r="C12961" t="s">
        <v>12726</v>
      </c>
    </row>
    <row r="12962" spans="1:3" x14ac:dyDescent="0.25">
      <c r="A12962" t="str">
        <f>"0611839825100"</f>
        <v>0611839825100</v>
      </c>
      <c r="B12962" t="str">
        <f>"LK7041"</f>
        <v>LK7041</v>
      </c>
      <c r="C12962" t="s">
        <v>12727</v>
      </c>
    </row>
    <row r="12963" spans="1:3" x14ac:dyDescent="0.25">
      <c r="A12963" t="str">
        <f>"0611839826100"</f>
        <v>0611839826100</v>
      </c>
      <c r="B12963" t="str">
        <f>"LK5146"</f>
        <v>LK5146</v>
      </c>
      <c r="C12963" t="s">
        <v>12728</v>
      </c>
    </row>
    <row r="12964" spans="1:3" x14ac:dyDescent="0.25">
      <c r="A12964" t="str">
        <f>"0611839827100"</f>
        <v>0611839827100</v>
      </c>
      <c r="B12964" t="str">
        <f>"LK4899"</f>
        <v>LK4899</v>
      </c>
      <c r="C12964" t="s">
        <v>12729</v>
      </c>
    </row>
    <row r="12965" spans="1:3" x14ac:dyDescent="0.25">
      <c r="A12965" t="str">
        <f>"0611839828100"</f>
        <v>0611839828100</v>
      </c>
      <c r="B12965" t="str">
        <f>"LK4900"</f>
        <v>LK4900</v>
      </c>
      <c r="C12965" t="s">
        <v>12730</v>
      </c>
    </row>
    <row r="12966" spans="1:3" x14ac:dyDescent="0.25">
      <c r="A12966" t="str">
        <f>"0611839829100"</f>
        <v>0611839829100</v>
      </c>
      <c r="B12966" t="str">
        <f>"LK4901"</f>
        <v>LK4901</v>
      </c>
      <c r="C12966" t="s">
        <v>12731</v>
      </c>
    </row>
    <row r="12967" spans="1:3" x14ac:dyDescent="0.25">
      <c r="A12967" t="str">
        <f>"0611839830100"</f>
        <v>0611839830100</v>
      </c>
      <c r="B12967" t="str">
        <f>"LK4902"</f>
        <v>LK4902</v>
      </c>
      <c r="C12967" t="s">
        <v>12732</v>
      </c>
    </row>
    <row r="12968" spans="1:3" x14ac:dyDescent="0.25">
      <c r="A12968" t="str">
        <f>"0611839831100"</f>
        <v>0611839831100</v>
      </c>
      <c r="B12968" t="str">
        <f>"LK4903"</f>
        <v>LK4903</v>
      </c>
      <c r="C12968" t="s">
        <v>12733</v>
      </c>
    </row>
    <row r="12969" spans="1:3" x14ac:dyDescent="0.25">
      <c r="A12969" t="str">
        <f>"0611839832100"</f>
        <v>0611839832100</v>
      </c>
      <c r="B12969" t="str">
        <f>"LK4904"</f>
        <v>LK4904</v>
      </c>
      <c r="C12969" t="s">
        <v>12734</v>
      </c>
    </row>
    <row r="12970" spans="1:3" x14ac:dyDescent="0.25">
      <c r="A12970" t="str">
        <f>"0611839833100"</f>
        <v>0611839833100</v>
      </c>
      <c r="B12970" t="str">
        <f>"LK4905"</f>
        <v>LK4905</v>
      </c>
      <c r="C12970" t="s">
        <v>12735</v>
      </c>
    </row>
    <row r="12971" spans="1:3" x14ac:dyDescent="0.25">
      <c r="A12971" t="str">
        <f>"0611839837100"</f>
        <v>0611839837100</v>
      </c>
      <c r="B12971" t="str">
        <f>"LQ5107"</f>
        <v>LQ5107</v>
      </c>
      <c r="C12971" t="s">
        <v>12736</v>
      </c>
    </row>
    <row r="12972" spans="1:3" x14ac:dyDescent="0.25">
      <c r="A12972" t="str">
        <f>"0611839838100"</f>
        <v>0611839838100</v>
      </c>
      <c r="B12972" t="str">
        <f>"LQ5749"</f>
        <v>LQ5749</v>
      </c>
      <c r="C12972" t="s">
        <v>12737</v>
      </c>
    </row>
    <row r="12973" spans="1:3" x14ac:dyDescent="0.25">
      <c r="A12973" t="str">
        <f>"0611839839100"</f>
        <v>0611839839100</v>
      </c>
      <c r="B12973" t="str">
        <f>"LQ5423"</f>
        <v>LQ5423</v>
      </c>
      <c r="C12973" t="s">
        <v>12738</v>
      </c>
    </row>
    <row r="12974" spans="1:3" x14ac:dyDescent="0.25">
      <c r="A12974" t="str">
        <f>"0611839841100"</f>
        <v>0611839841100</v>
      </c>
      <c r="B12974" t="str">
        <f>"LQ5109"</f>
        <v>LQ5109</v>
      </c>
      <c r="C12974" t="s">
        <v>12739</v>
      </c>
    </row>
    <row r="12975" spans="1:3" x14ac:dyDescent="0.25">
      <c r="A12975" t="str">
        <f>"0611839843100"</f>
        <v>0611839843100</v>
      </c>
      <c r="B12975" t="str">
        <f>"LQ5164"</f>
        <v>LQ5164</v>
      </c>
      <c r="C12975" t="s">
        <v>12740</v>
      </c>
    </row>
    <row r="12976" spans="1:3" x14ac:dyDescent="0.25">
      <c r="A12976" t="str">
        <f>"0611839844100"</f>
        <v>0611839844100</v>
      </c>
      <c r="B12976" t="str">
        <f>"LQ5425"</f>
        <v>LQ5425</v>
      </c>
      <c r="C12976" t="s">
        <v>12741</v>
      </c>
    </row>
    <row r="12977" spans="1:3" x14ac:dyDescent="0.25">
      <c r="A12977" t="str">
        <f>"0611857162100"</f>
        <v>0611857162100</v>
      </c>
      <c r="B12977" t="str">
        <f>"LK7063"</f>
        <v>LK7063</v>
      </c>
      <c r="C12977" t="s">
        <v>12742</v>
      </c>
    </row>
    <row r="12978" spans="1:3" x14ac:dyDescent="0.25">
      <c r="A12978" t="str">
        <f>"0611857163100"</f>
        <v>0611857163100</v>
      </c>
      <c r="B12978" t="str">
        <f>"LK7061"</f>
        <v>LK7061</v>
      </c>
      <c r="C12978" t="s">
        <v>12743</v>
      </c>
    </row>
    <row r="12979" spans="1:3" x14ac:dyDescent="0.25">
      <c r="A12979" t="str">
        <f>"0611839847025"</f>
        <v>0611839847025</v>
      </c>
      <c r="B12979" t="str">
        <f>"MQ6091"</f>
        <v>MQ6091</v>
      </c>
      <c r="C12979" t="s">
        <v>12744</v>
      </c>
    </row>
    <row r="12980" spans="1:3" x14ac:dyDescent="0.25">
      <c r="A12980" t="str">
        <f>"0611839848025"</f>
        <v>0611839848025</v>
      </c>
      <c r="B12980" t="str">
        <f>"MQ6092"</f>
        <v>MQ6092</v>
      </c>
      <c r="C12980" t="s">
        <v>12745</v>
      </c>
    </row>
    <row r="12981" spans="1:3" x14ac:dyDescent="0.25">
      <c r="A12981" t="str">
        <f>"0611839850025"</f>
        <v>0611839850025</v>
      </c>
      <c r="B12981" t="str">
        <f>"MQ6094"</f>
        <v>MQ6094</v>
      </c>
      <c r="C12981" t="s">
        <v>12746</v>
      </c>
    </row>
    <row r="12982" spans="1:3" x14ac:dyDescent="0.25">
      <c r="A12982" t="str">
        <f>"0611839851025"</f>
        <v>0611839851025</v>
      </c>
      <c r="B12982" t="str">
        <f>"MC0923"</f>
        <v>MC0923</v>
      </c>
      <c r="C12982" t="s">
        <v>12747</v>
      </c>
    </row>
    <row r="12983" spans="1:3" x14ac:dyDescent="0.25">
      <c r="A12983" t="str">
        <f>"0611839852100"</f>
        <v>0611839852100</v>
      </c>
      <c r="B12983" t="str">
        <f>"LF6533"</f>
        <v>LF6533</v>
      </c>
      <c r="C12983" t="s">
        <v>12748</v>
      </c>
    </row>
    <row r="12984" spans="1:3" x14ac:dyDescent="0.25">
      <c r="A12984" t="str">
        <f>"0611864109050"</f>
        <v>0611864109050</v>
      </c>
      <c r="B12984" t="str">
        <f>"CR4633"</f>
        <v>CR4633</v>
      </c>
      <c r="C12984" t="s">
        <v>12749</v>
      </c>
    </row>
    <row r="12985" spans="1:3" x14ac:dyDescent="0.25">
      <c r="A12985" t="str">
        <f>"0611864110050"</f>
        <v>0611864110050</v>
      </c>
      <c r="B12985" t="str">
        <f>"CR5035"</f>
        <v>CR5035</v>
      </c>
      <c r="C12985" t="s">
        <v>13954</v>
      </c>
    </row>
    <row r="12986" spans="1:3" x14ac:dyDescent="0.25">
      <c r="A12986" t="str">
        <f>"0611839853100"</f>
        <v>0611839853100</v>
      </c>
      <c r="B12986" t="str">
        <f>"LK4897"</f>
        <v>LK4897</v>
      </c>
      <c r="C12986" t="s">
        <v>12750</v>
      </c>
    </row>
    <row r="12987" spans="1:3" x14ac:dyDescent="0.25">
      <c r="A12987" t="str">
        <f>"0611857164100"</f>
        <v>0611857164100</v>
      </c>
      <c r="B12987" t="str">
        <f>"LF2951"</f>
        <v>LF2951</v>
      </c>
      <c r="C12987" t="s">
        <v>12751</v>
      </c>
    </row>
    <row r="12988" spans="1:3" x14ac:dyDescent="0.25">
      <c r="A12988" t="str">
        <f>"0611839856100"</f>
        <v>0611839856100</v>
      </c>
      <c r="B12988" t="str">
        <f>"LB8850"</f>
        <v>LB8850</v>
      </c>
      <c r="C12988" t="s">
        <v>12752</v>
      </c>
    </row>
    <row r="12989" spans="1:3" x14ac:dyDescent="0.25">
      <c r="A12989" t="str">
        <f>"0611839854100"</f>
        <v>0611839854100</v>
      </c>
      <c r="B12989" t="str">
        <f>"MB8415"</f>
        <v>MB8415</v>
      </c>
      <c r="C12989" t="s">
        <v>12753</v>
      </c>
    </row>
    <row r="12990" spans="1:3" x14ac:dyDescent="0.25">
      <c r="A12990" t="str">
        <f>"0611839855100"</f>
        <v>0611839855100</v>
      </c>
      <c r="B12990" t="str">
        <f>"LF8415"</f>
        <v>LF8415</v>
      </c>
      <c r="C12990" t="s">
        <v>12754</v>
      </c>
    </row>
    <row r="12991" spans="1:3" x14ac:dyDescent="0.25">
      <c r="A12991" t="str">
        <f>"0611864111050"</f>
        <v>0611864111050</v>
      </c>
      <c r="B12991" t="str">
        <f>"CR5032"</f>
        <v>CR5032</v>
      </c>
      <c r="C12991" t="s">
        <v>13955</v>
      </c>
    </row>
    <row r="12992" spans="1:3" x14ac:dyDescent="0.25">
      <c r="A12992" t="str">
        <f>"0611839857100"</f>
        <v>0611839857100</v>
      </c>
      <c r="B12992" t="str">
        <f>"LH8415"</f>
        <v>LH8415</v>
      </c>
      <c r="C12992" t="s">
        <v>12755</v>
      </c>
    </row>
    <row r="12993" spans="1:3" x14ac:dyDescent="0.25">
      <c r="A12993" t="str">
        <f>"0611839858025"</f>
        <v>0611839858025</v>
      </c>
      <c r="B12993" t="str">
        <f>"MC2108"</f>
        <v>MC2108</v>
      </c>
      <c r="C12993" t="s">
        <v>12756</v>
      </c>
    </row>
    <row r="12994" spans="1:3" x14ac:dyDescent="0.25">
      <c r="A12994" t="str">
        <f>"0611864112050"</f>
        <v>0611864112050</v>
      </c>
      <c r="B12994" t="str">
        <f>"CR5252"</f>
        <v>CR5252</v>
      </c>
      <c r="C12994" t="s">
        <v>12757</v>
      </c>
    </row>
    <row r="12995" spans="1:3" x14ac:dyDescent="0.25">
      <c r="A12995" t="str">
        <f>"0611839859100"</f>
        <v>0611839859100</v>
      </c>
      <c r="B12995" t="str">
        <f>"LF8031"</f>
        <v>LF8031</v>
      </c>
      <c r="C12995" t="s">
        <v>12758</v>
      </c>
    </row>
    <row r="12996" spans="1:3" x14ac:dyDescent="0.25">
      <c r="A12996" t="str">
        <f>"0611884489100"</f>
        <v>0611884489100</v>
      </c>
      <c r="B12996" t="str">
        <f>"LF8536"</f>
        <v>LF8536</v>
      </c>
      <c r="C12996" t="s">
        <v>12759</v>
      </c>
    </row>
    <row r="12997" spans="1:3" x14ac:dyDescent="0.25">
      <c r="A12997" t="str">
        <f>"0611884490100"</f>
        <v>0611884490100</v>
      </c>
      <c r="B12997" t="str">
        <f>"LF0049"</f>
        <v>LF0049</v>
      </c>
      <c r="C12997" t="s">
        <v>12760</v>
      </c>
    </row>
    <row r="12998" spans="1:3" x14ac:dyDescent="0.25">
      <c r="A12998" t="str">
        <f>"0611864113050"</f>
        <v>0611864113050</v>
      </c>
      <c r="B12998" t="str">
        <f>"CR5033"</f>
        <v>CR5033</v>
      </c>
      <c r="C12998" t="s">
        <v>13956</v>
      </c>
    </row>
    <row r="12999" spans="1:3" x14ac:dyDescent="0.25">
      <c r="A12999" t="str">
        <f>"0611663279050"</f>
        <v>0611663279050</v>
      </c>
      <c r="B12999" t="str">
        <f>""</f>
        <v/>
      </c>
      <c r="C12999" t="s">
        <v>12761</v>
      </c>
    </row>
    <row r="13000" spans="1:3" x14ac:dyDescent="0.25">
      <c r="A13000" t="str">
        <f>"0611839862025"</f>
        <v>0611839862025</v>
      </c>
      <c r="B13000" t="str">
        <f>"MC3815"</f>
        <v>MC3815</v>
      </c>
      <c r="C13000" t="s">
        <v>12762</v>
      </c>
    </row>
    <row r="13001" spans="1:3" x14ac:dyDescent="0.25">
      <c r="A13001" t="str">
        <f>"0611839865100"</f>
        <v>0611839865100</v>
      </c>
      <c r="B13001" t="str">
        <f>"LH8416"</f>
        <v>LH8416</v>
      </c>
      <c r="C13001" t="s">
        <v>12764</v>
      </c>
    </row>
    <row r="13002" spans="1:3" x14ac:dyDescent="0.25">
      <c r="A13002" t="str">
        <f>"0611839866025"</f>
        <v>0611839866025</v>
      </c>
      <c r="B13002" t="str">
        <f>"MC0725"</f>
        <v>MC0725</v>
      </c>
      <c r="C13002" t="s">
        <v>12765</v>
      </c>
    </row>
    <row r="13003" spans="1:3" x14ac:dyDescent="0.25">
      <c r="A13003" t="str">
        <f>"0611839882100"</f>
        <v>0611839882100</v>
      </c>
      <c r="B13003" t="str">
        <f>"MB8035"</f>
        <v>MB8035</v>
      </c>
      <c r="C13003" t="s">
        <v>12766</v>
      </c>
    </row>
    <row r="13004" spans="1:3" x14ac:dyDescent="0.25">
      <c r="A13004" t="str">
        <f>"0611839883100"</f>
        <v>0611839883100</v>
      </c>
      <c r="B13004" t="str">
        <f>"LF8035"</f>
        <v>LF8035</v>
      </c>
      <c r="C13004" t="s">
        <v>12767</v>
      </c>
    </row>
    <row r="13005" spans="1:3" x14ac:dyDescent="0.25">
      <c r="A13005" t="str">
        <f>"0611839884100"</f>
        <v>0611839884100</v>
      </c>
      <c r="B13005" t="str">
        <f>"LG8013"</f>
        <v>LG8013</v>
      </c>
      <c r="C13005" t="s">
        <v>12768</v>
      </c>
    </row>
    <row r="13006" spans="1:3" x14ac:dyDescent="0.25">
      <c r="A13006" t="str">
        <f>"0611839892100"</f>
        <v>0611839892100</v>
      </c>
      <c r="B13006" t="str">
        <f>"LG8000"</f>
        <v>LG8000</v>
      </c>
      <c r="C13006" t="s">
        <v>12769</v>
      </c>
    </row>
    <row r="13007" spans="1:3" x14ac:dyDescent="0.25">
      <c r="A13007" t="str">
        <f>"0611839885100"</f>
        <v>0611839885100</v>
      </c>
      <c r="B13007" t="str">
        <f>"LG8010"</f>
        <v>LG8010</v>
      </c>
      <c r="C13007" t="s">
        <v>12770</v>
      </c>
    </row>
    <row r="13008" spans="1:3" x14ac:dyDescent="0.25">
      <c r="A13008" t="str">
        <f>"0611839886100"</f>
        <v>0611839886100</v>
      </c>
      <c r="B13008" t="str">
        <f>"LG8005"</f>
        <v>LG8005</v>
      </c>
      <c r="C13008" t="s">
        <v>12771</v>
      </c>
    </row>
    <row r="13009" spans="1:3" x14ac:dyDescent="0.25">
      <c r="A13009" t="str">
        <f>"0611839887100"</f>
        <v>0611839887100</v>
      </c>
      <c r="B13009" t="str">
        <f>"LG8003"</f>
        <v>LG8003</v>
      </c>
      <c r="C13009" t="s">
        <v>12772</v>
      </c>
    </row>
    <row r="13010" spans="1:3" x14ac:dyDescent="0.25">
      <c r="A13010" t="str">
        <f>"0611839888100"</f>
        <v>0611839888100</v>
      </c>
      <c r="B13010" t="str">
        <f>"LG8011"</f>
        <v>LG8011</v>
      </c>
      <c r="C13010" t="s">
        <v>12773</v>
      </c>
    </row>
    <row r="13011" spans="1:3" x14ac:dyDescent="0.25">
      <c r="A13011" t="str">
        <f>"0611839889100"</f>
        <v>0611839889100</v>
      </c>
      <c r="B13011" t="str">
        <f>"LG8001"</f>
        <v>LG8001</v>
      </c>
      <c r="C13011" t="s">
        <v>12774</v>
      </c>
    </row>
    <row r="13012" spans="1:3" x14ac:dyDescent="0.25">
      <c r="A13012" t="str">
        <f>"0611839890100"</f>
        <v>0611839890100</v>
      </c>
      <c r="B13012" t="str">
        <f>"LG8006"</f>
        <v>LG8006</v>
      </c>
      <c r="C13012" t="s">
        <v>12775</v>
      </c>
    </row>
    <row r="13013" spans="1:3" x14ac:dyDescent="0.25">
      <c r="A13013" t="str">
        <f>"0611839891100"</f>
        <v>0611839891100</v>
      </c>
      <c r="B13013" t="str">
        <f>"LG8004"</f>
        <v>LG8004</v>
      </c>
      <c r="C13013" t="s">
        <v>12776</v>
      </c>
    </row>
    <row r="13014" spans="1:3" x14ac:dyDescent="0.25">
      <c r="A13014" t="str">
        <f>"0611839893100"</f>
        <v>0611839893100</v>
      </c>
      <c r="B13014" t="str">
        <f>"LG8012"</f>
        <v>LG8012</v>
      </c>
      <c r="C13014" t="s">
        <v>12777</v>
      </c>
    </row>
    <row r="13015" spans="1:3" x14ac:dyDescent="0.25">
      <c r="A13015" t="str">
        <f>"0611839894100"</f>
        <v>0611839894100</v>
      </c>
      <c r="B13015" t="str">
        <f>"LG8002"</f>
        <v>LG8002</v>
      </c>
      <c r="C13015" t="s">
        <v>12778</v>
      </c>
    </row>
    <row r="13016" spans="1:3" x14ac:dyDescent="0.25">
      <c r="A13016" t="str">
        <f>"0611839895100"</f>
        <v>0611839895100</v>
      </c>
      <c r="B13016" t="str">
        <f>"LG8009"</f>
        <v>LG8009</v>
      </c>
      <c r="C13016" t="s">
        <v>12779</v>
      </c>
    </row>
    <row r="13017" spans="1:3" x14ac:dyDescent="0.25">
      <c r="A13017" t="str">
        <f>"0611839896100"</f>
        <v>0611839896100</v>
      </c>
      <c r="B13017" t="str">
        <f>"LK6346"</f>
        <v>LK6346</v>
      </c>
      <c r="C13017" t="s">
        <v>12780</v>
      </c>
    </row>
    <row r="13018" spans="1:3" x14ac:dyDescent="0.25">
      <c r="A13018" t="str">
        <f>"0611884491025"</f>
        <v>0611884491025</v>
      </c>
      <c r="B13018" t="str">
        <f>"MC4511"</f>
        <v>MC4511</v>
      </c>
      <c r="C13018" t="s">
        <v>12782</v>
      </c>
    </row>
    <row r="13019" spans="1:3" x14ac:dyDescent="0.25">
      <c r="A13019" t="str">
        <f>"0611839899100"</f>
        <v>0611839899100</v>
      </c>
      <c r="B13019" t="str">
        <f>"LH8856"</f>
        <v>LH8856</v>
      </c>
      <c r="C13019" t="s">
        <v>12783</v>
      </c>
    </row>
    <row r="13020" spans="1:3" x14ac:dyDescent="0.25">
      <c r="A13020" t="str">
        <f>"0611839900025"</f>
        <v>0611839900025</v>
      </c>
      <c r="B13020" t="str">
        <f>"MC0926"</f>
        <v>MC0926</v>
      </c>
      <c r="C13020" t="s">
        <v>12784</v>
      </c>
    </row>
    <row r="13021" spans="1:3" x14ac:dyDescent="0.25">
      <c r="A13021" t="str">
        <f>"0611839916100"</f>
        <v>0611839916100</v>
      </c>
      <c r="B13021" t="str">
        <f>"LS0121"</f>
        <v>LS0121</v>
      </c>
      <c r="C13021" t="s">
        <v>12852</v>
      </c>
    </row>
    <row r="13022" spans="1:3" x14ac:dyDescent="0.25">
      <c r="A13022" t="str">
        <f>"0611839901100"</f>
        <v>0611839901100</v>
      </c>
      <c r="B13022" t="str">
        <f>"LB9225"</f>
        <v>LB9225</v>
      </c>
      <c r="C13022" t="s">
        <v>12785</v>
      </c>
    </row>
    <row r="13023" spans="1:3" x14ac:dyDescent="0.25">
      <c r="A13023" t="str">
        <f>"0611839902025"</f>
        <v>0611839902025</v>
      </c>
      <c r="B13023" t="str">
        <f>"MC1485"</f>
        <v>MC1485</v>
      </c>
      <c r="C13023" t="s">
        <v>12786</v>
      </c>
    </row>
    <row r="13024" spans="1:3" x14ac:dyDescent="0.25">
      <c r="A13024" t="str">
        <f>"0611839903100"</f>
        <v>0611839903100</v>
      </c>
      <c r="B13024" t="str">
        <f>"LH0202"</f>
        <v>LH0202</v>
      </c>
      <c r="C13024" t="s">
        <v>12787</v>
      </c>
    </row>
    <row r="13025" spans="1:3" x14ac:dyDescent="0.25">
      <c r="A13025" t="str">
        <f>"0611839904100"</f>
        <v>0611839904100</v>
      </c>
      <c r="B13025" t="str">
        <f>"LK6300"</f>
        <v>LK6300</v>
      </c>
      <c r="C13025" t="s">
        <v>12788</v>
      </c>
    </row>
    <row r="13026" spans="1:3" x14ac:dyDescent="0.25">
      <c r="A13026" t="str">
        <f>"0611839905100"</f>
        <v>0611839905100</v>
      </c>
      <c r="B13026" t="str">
        <f>"LK6668"</f>
        <v>LK6668</v>
      </c>
      <c r="C13026" t="s">
        <v>12789</v>
      </c>
    </row>
    <row r="13027" spans="1:3" x14ac:dyDescent="0.25">
      <c r="A13027" t="str">
        <f>"0611839906100"</f>
        <v>0611839906100</v>
      </c>
      <c r="B13027" t="str">
        <f>"LK6303"</f>
        <v>LK6303</v>
      </c>
      <c r="C13027" t="s">
        <v>12790</v>
      </c>
    </row>
    <row r="13028" spans="1:3" x14ac:dyDescent="0.25">
      <c r="A13028" t="str">
        <f>"0611839910100"</f>
        <v>0611839910100</v>
      </c>
      <c r="B13028" t="str">
        <f>"LK5378"</f>
        <v>LK5378</v>
      </c>
      <c r="C13028" t="s">
        <v>12791</v>
      </c>
    </row>
    <row r="13029" spans="1:3" x14ac:dyDescent="0.25">
      <c r="A13029" t="str">
        <f>"0611839907100"</f>
        <v>0611839907100</v>
      </c>
      <c r="B13029" t="str">
        <f>"LK5380"</f>
        <v>LK5380</v>
      </c>
      <c r="C13029" t="s">
        <v>12792</v>
      </c>
    </row>
    <row r="13030" spans="1:3" x14ac:dyDescent="0.25">
      <c r="A13030" t="str">
        <f>"0611839908100"</f>
        <v>0611839908100</v>
      </c>
      <c r="B13030" t="str">
        <f>"LK5379"</f>
        <v>LK5379</v>
      </c>
      <c r="C13030" t="s">
        <v>12793</v>
      </c>
    </row>
    <row r="13031" spans="1:3" x14ac:dyDescent="0.25">
      <c r="A13031" t="str">
        <f>"0611864114050"</f>
        <v>0611864114050</v>
      </c>
      <c r="B13031" t="str">
        <f>"CR3157"</f>
        <v>CR3157</v>
      </c>
      <c r="C13031" t="s">
        <v>12794</v>
      </c>
    </row>
    <row r="13032" spans="1:3" x14ac:dyDescent="0.25">
      <c r="A13032" t="str">
        <f>"0611864116050"</f>
        <v>0611864116050</v>
      </c>
      <c r="B13032" t="str">
        <f>"CR3158"</f>
        <v>CR3158</v>
      </c>
      <c r="C13032" t="s">
        <v>12795</v>
      </c>
    </row>
    <row r="13033" spans="1:3" x14ac:dyDescent="0.25">
      <c r="A13033" t="str">
        <f>"0611864117050"</f>
        <v>0611864117050</v>
      </c>
      <c r="B13033" t="str">
        <f>"CR3159"</f>
        <v>CR3159</v>
      </c>
      <c r="C13033" t="s">
        <v>12796</v>
      </c>
    </row>
    <row r="13034" spans="1:3" x14ac:dyDescent="0.25">
      <c r="A13034" t="str">
        <f>"0611864119050"</f>
        <v>0611864119050</v>
      </c>
      <c r="B13034" t="str">
        <f>"CR2760"</f>
        <v>CR2760</v>
      </c>
      <c r="C13034" t="s">
        <v>12798</v>
      </c>
    </row>
    <row r="13035" spans="1:3" x14ac:dyDescent="0.25">
      <c r="A13035" t="str">
        <f>"0611864118050"</f>
        <v>0611864118050</v>
      </c>
      <c r="B13035" t="str">
        <f>"CR3918"</f>
        <v>CR3918</v>
      </c>
      <c r="C13035" t="s">
        <v>12797</v>
      </c>
    </row>
    <row r="13036" spans="1:3" x14ac:dyDescent="0.25">
      <c r="A13036" t="str">
        <f>"0611864120050"</f>
        <v>0611864120050</v>
      </c>
      <c r="B13036" t="str">
        <f>"CR3160"</f>
        <v>CR3160</v>
      </c>
      <c r="C13036" t="s">
        <v>12799</v>
      </c>
    </row>
    <row r="13037" spans="1:3" x14ac:dyDescent="0.25">
      <c r="A13037" t="str">
        <f>"0611864121050"</f>
        <v>0611864121050</v>
      </c>
      <c r="B13037" t="str">
        <f>"CR3021"</f>
        <v>CR3021</v>
      </c>
      <c r="C13037" t="s">
        <v>12800</v>
      </c>
    </row>
    <row r="13038" spans="1:3" x14ac:dyDescent="0.25">
      <c r="A13038" t="str">
        <f>"0611906597050"</f>
        <v>0611906597050</v>
      </c>
      <c r="B13038" t="str">
        <f>"CR5515"</f>
        <v>CR5515</v>
      </c>
      <c r="C13038" t="s">
        <v>12801</v>
      </c>
    </row>
    <row r="13039" spans="1:3" x14ac:dyDescent="0.25">
      <c r="A13039" t="str">
        <f>"0611864122050"</f>
        <v>0611864122050</v>
      </c>
      <c r="B13039" t="str">
        <f>"CR5019"</f>
        <v>CR5019</v>
      </c>
      <c r="C13039" t="s">
        <v>12802</v>
      </c>
    </row>
    <row r="13040" spans="1:3" x14ac:dyDescent="0.25">
      <c r="A13040" t="str">
        <f>"0611864123050"</f>
        <v>0611864123050</v>
      </c>
      <c r="B13040" t="str">
        <f>"CR2758"</f>
        <v>CR2758</v>
      </c>
      <c r="C13040" t="s">
        <v>12803</v>
      </c>
    </row>
    <row r="13041" spans="1:3" x14ac:dyDescent="0.25">
      <c r="A13041" t="str">
        <f>"0611864125050"</f>
        <v>0611864125050</v>
      </c>
      <c r="B13041" t="str">
        <f>"CR3161"</f>
        <v>CR3161</v>
      </c>
      <c r="C13041" t="s">
        <v>12804</v>
      </c>
    </row>
    <row r="13042" spans="1:3" x14ac:dyDescent="0.25">
      <c r="A13042" t="str">
        <f>"0611864127050"</f>
        <v>0611864127050</v>
      </c>
      <c r="B13042" t="str">
        <f>"CR3022"</f>
        <v>CR3022</v>
      </c>
      <c r="C13042" t="s">
        <v>12805</v>
      </c>
    </row>
    <row r="13043" spans="1:3" x14ac:dyDescent="0.25">
      <c r="A13043" t="str">
        <f>"0611906598050"</f>
        <v>0611906598050</v>
      </c>
      <c r="B13043" t="str">
        <f>"CR5517"</f>
        <v>CR5517</v>
      </c>
      <c r="C13043" t="s">
        <v>12806</v>
      </c>
    </row>
    <row r="13044" spans="1:3" x14ac:dyDescent="0.25">
      <c r="A13044" t="str">
        <f>"0611864128050"</f>
        <v>0611864128050</v>
      </c>
      <c r="B13044" t="str">
        <f>"CR2759"</f>
        <v>CR2759</v>
      </c>
      <c r="C13044" t="s">
        <v>12807</v>
      </c>
    </row>
    <row r="13045" spans="1:3" x14ac:dyDescent="0.25">
      <c r="A13045" t="str">
        <f>"0611864129050"</f>
        <v>0611864129050</v>
      </c>
      <c r="B13045" t="str">
        <f>"CR3164"</f>
        <v>CR3164</v>
      </c>
      <c r="C13045" t="s">
        <v>12808</v>
      </c>
    </row>
    <row r="13046" spans="1:3" x14ac:dyDescent="0.25">
      <c r="A13046" t="str">
        <f>"0611864130050"</f>
        <v>0611864130050</v>
      </c>
      <c r="B13046" t="str">
        <f>"CR2571"</f>
        <v>CR2571</v>
      </c>
      <c r="C13046" t="s">
        <v>12809</v>
      </c>
    </row>
    <row r="13047" spans="1:3" x14ac:dyDescent="0.25">
      <c r="A13047" t="str">
        <f>"0611864131050"</f>
        <v>0611864131050</v>
      </c>
      <c r="B13047" t="str">
        <f>"CR2572"</f>
        <v>CR2572</v>
      </c>
      <c r="C13047" t="s">
        <v>12810</v>
      </c>
    </row>
    <row r="13048" spans="1:3" x14ac:dyDescent="0.25">
      <c r="A13048" t="str">
        <f>"0611864132050"</f>
        <v>0611864132050</v>
      </c>
      <c r="B13048" t="str">
        <f>"CR2573"</f>
        <v>CR2573</v>
      </c>
      <c r="C13048" t="s">
        <v>12811</v>
      </c>
    </row>
    <row r="13049" spans="1:3" x14ac:dyDescent="0.25">
      <c r="A13049" t="str">
        <f>"0611864133050"</f>
        <v>0611864133050</v>
      </c>
      <c r="B13049" t="str">
        <f>"CR2574"</f>
        <v>CR2574</v>
      </c>
      <c r="C13049" t="s">
        <v>12812</v>
      </c>
    </row>
    <row r="13050" spans="1:3" x14ac:dyDescent="0.25">
      <c r="A13050" t="str">
        <f>"0611864134050"</f>
        <v>0611864134050</v>
      </c>
      <c r="B13050" t="str">
        <f>"CR2761"</f>
        <v>CR2761</v>
      </c>
      <c r="C13050" t="s">
        <v>12813</v>
      </c>
    </row>
    <row r="13051" spans="1:3" x14ac:dyDescent="0.25">
      <c r="A13051" t="str">
        <f>"0611864136050"</f>
        <v>0611864136050</v>
      </c>
      <c r="B13051" t="str">
        <f>"CR2762"</f>
        <v>CR2762</v>
      </c>
      <c r="C13051" t="s">
        <v>12814</v>
      </c>
    </row>
    <row r="13052" spans="1:3" x14ac:dyDescent="0.25">
      <c r="A13052" t="str">
        <f>"0611864138050"</f>
        <v>0611864138050</v>
      </c>
      <c r="B13052" t="str">
        <f>"CR2763"</f>
        <v>CR2763</v>
      </c>
      <c r="C13052" t="s">
        <v>12815</v>
      </c>
    </row>
    <row r="13053" spans="1:3" x14ac:dyDescent="0.25">
      <c r="A13053" t="str">
        <f>"0611864141050"</f>
        <v>0611864141050</v>
      </c>
      <c r="B13053" t="str">
        <f>"CR2764"</f>
        <v>CR2764</v>
      </c>
      <c r="C13053" t="s">
        <v>12816</v>
      </c>
    </row>
    <row r="13054" spans="1:3" x14ac:dyDescent="0.25">
      <c r="A13054" t="str">
        <f>"0611906599050"</f>
        <v>0611906599050</v>
      </c>
      <c r="B13054" t="str">
        <f>"CR5518"</f>
        <v>CR5518</v>
      </c>
      <c r="C13054" t="s">
        <v>12817</v>
      </c>
    </row>
    <row r="13055" spans="1:3" x14ac:dyDescent="0.25">
      <c r="A13055" t="str">
        <f>"0611864142050"</f>
        <v>0611864142050</v>
      </c>
      <c r="B13055" t="str">
        <f>"CR3744"</f>
        <v>CR3744</v>
      </c>
      <c r="C13055" t="s">
        <v>12818</v>
      </c>
    </row>
    <row r="13056" spans="1:3" x14ac:dyDescent="0.25">
      <c r="A13056" t="str">
        <f>"0611864145050"</f>
        <v>0611864145050</v>
      </c>
      <c r="B13056" t="str">
        <f>"CR4057"</f>
        <v>CR4057</v>
      </c>
      <c r="C13056" t="s">
        <v>12821</v>
      </c>
    </row>
    <row r="13057" spans="1:3" x14ac:dyDescent="0.25">
      <c r="A13057" t="str">
        <f>"0611864143050"</f>
        <v>0611864143050</v>
      </c>
      <c r="B13057" t="str">
        <f>"CR4058"</f>
        <v>CR4058</v>
      </c>
      <c r="C13057" t="s">
        <v>12819</v>
      </c>
    </row>
    <row r="13058" spans="1:3" x14ac:dyDescent="0.25">
      <c r="A13058" t="str">
        <f>"0611864144050"</f>
        <v>0611864144050</v>
      </c>
      <c r="B13058" t="str">
        <f>"CR4059"</f>
        <v>CR4059</v>
      </c>
      <c r="C13058" t="s">
        <v>12820</v>
      </c>
    </row>
    <row r="13059" spans="1:3" x14ac:dyDescent="0.25">
      <c r="A13059" t="str">
        <f>"0611864146050"</f>
        <v>0611864146050</v>
      </c>
      <c r="B13059" t="str">
        <f>"CR5247"</f>
        <v>CR5247</v>
      </c>
      <c r="C13059" t="s">
        <v>12822</v>
      </c>
    </row>
    <row r="13060" spans="1:3" x14ac:dyDescent="0.25">
      <c r="A13060" t="str">
        <f>"0611864147050"</f>
        <v>0611864147050</v>
      </c>
      <c r="B13060" t="str">
        <f>"CR5248"</f>
        <v>CR5248</v>
      </c>
      <c r="C13060" t="s">
        <v>12823</v>
      </c>
    </row>
    <row r="13061" spans="1:3" x14ac:dyDescent="0.25">
      <c r="A13061" t="str">
        <f>"0611906600050"</f>
        <v>0611906600050</v>
      </c>
      <c r="B13061" t="str">
        <f>"CR5519"</f>
        <v>CR5519</v>
      </c>
      <c r="C13061" t="s">
        <v>12824</v>
      </c>
    </row>
    <row r="13062" spans="1:3" x14ac:dyDescent="0.25">
      <c r="A13062" t="str">
        <f>"0611906601050"</f>
        <v>0611906601050</v>
      </c>
      <c r="B13062" t="str">
        <f>"CR5520"</f>
        <v>CR5520</v>
      </c>
      <c r="C13062" t="s">
        <v>12825</v>
      </c>
    </row>
    <row r="13063" spans="1:3" x14ac:dyDescent="0.25">
      <c r="A13063" t="str">
        <f>"0611906602050"</f>
        <v>0611906602050</v>
      </c>
      <c r="B13063" t="str">
        <f>"CR5521"</f>
        <v>CR5521</v>
      </c>
      <c r="C13063" t="s">
        <v>12826</v>
      </c>
    </row>
    <row r="13064" spans="1:3" x14ac:dyDescent="0.25">
      <c r="A13064" t="str">
        <f>"0611906603050"</f>
        <v>0611906603050</v>
      </c>
      <c r="B13064" t="str">
        <f>"CR5522"</f>
        <v>CR5522</v>
      </c>
      <c r="C13064" t="s">
        <v>12827</v>
      </c>
    </row>
    <row r="13065" spans="1:3" x14ac:dyDescent="0.25">
      <c r="A13065" t="str">
        <f>"0611864148050"</f>
        <v>0611864148050</v>
      </c>
      <c r="B13065" t="str">
        <f>"CR3745"</f>
        <v>CR3745</v>
      </c>
      <c r="C13065" t="s">
        <v>12828</v>
      </c>
    </row>
    <row r="13066" spans="1:3" x14ac:dyDescent="0.25">
      <c r="A13066" t="str">
        <f>"0611864149050"</f>
        <v>0611864149050</v>
      </c>
      <c r="B13066" t="str">
        <f>"CR3746"</f>
        <v>CR3746</v>
      </c>
      <c r="C13066" t="s">
        <v>12829</v>
      </c>
    </row>
    <row r="13067" spans="1:3" x14ac:dyDescent="0.25">
      <c r="A13067" t="str">
        <f>"0611864150050"</f>
        <v>0611864150050</v>
      </c>
      <c r="B13067" t="str">
        <f>"CR3747"</f>
        <v>CR3747</v>
      </c>
      <c r="C13067" t="s">
        <v>12830</v>
      </c>
    </row>
    <row r="13068" spans="1:3" x14ac:dyDescent="0.25">
      <c r="A13068" t="str">
        <f>"0611864151050"</f>
        <v>0611864151050</v>
      </c>
      <c r="B13068" t="str">
        <f>"CR3748"</f>
        <v>CR3748</v>
      </c>
      <c r="C13068" t="s">
        <v>12831</v>
      </c>
    </row>
    <row r="13069" spans="1:3" x14ac:dyDescent="0.25">
      <c r="A13069" t="str">
        <f>"0611864152050"</f>
        <v>0611864152050</v>
      </c>
      <c r="B13069" t="str">
        <f>"CR4877"</f>
        <v>CR4877</v>
      </c>
      <c r="C13069" t="s">
        <v>12832</v>
      </c>
    </row>
    <row r="13070" spans="1:3" x14ac:dyDescent="0.25">
      <c r="A13070" t="str">
        <f>"0611864153050"</f>
        <v>0611864153050</v>
      </c>
      <c r="B13070" t="str">
        <f>"CR3749"</f>
        <v>CR3749</v>
      </c>
      <c r="C13070" t="s">
        <v>12833</v>
      </c>
    </row>
    <row r="13071" spans="1:3" x14ac:dyDescent="0.25">
      <c r="A13071" t="str">
        <f>"0611864156050"</f>
        <v>0611864156050</v>
      </c>
      <c r="B13071" t="str">
        <f>"CR4060"</f>
        <v>CR4060</v>
      </c>
      <c r="C13071" t="s">
        <v>12834</v>
      </c>
    </row>
    <row r="13072" spans="1:3" x14ac:dyDescent="0.25">
      <c r="A13072" t="str">
        <f>"0611864157050"</f>
        <v>0611864157050</v>
      </c>
      <c r="B13072" t="str">
        <f>"CR5020"</f>
        <v>CR5020</v>
      </c>
      <c r="C13072" t="s">
        <v>12835</v>
      </c>
    </row>
    <row r="13073" spans="1:3" x14ac:dyDescent="0.25">
      <c r="A13073" t="str">
        <f>"0611839913100"</f>
        <v>0611839913100</v>
      </c>
      <c r="B13073" t="str">
        <f>"LQ0728"</f>
        <v>LQ0728</v>
      </c>
      <c r="C13073" t="s">
        <v>12836</v>
      </c>
    </row>
    <row r="13074" spans="1:3" x14ac:dyDescent="0.25">
      <c r="A13074" t="str">
        <f>"0611864158050"</f>
        <v>0611864158050</v>
      </c>
      <c r="B13074" t="str">
        <f>"CR3576"</f>
        <v>CR3576</v>
      </c>
      <c r="C13074" t="s">
        <v>12837</v>
      </c>
    </row>
    <row r="13075" spans="1:3" x14ac:dyDescent="0.25">
      <c r="A13075" t="str">
        <f>"0611864159050"</f>
        <v>0611864159050</v>
      </c>
      <c r="B13075" t="str">
        <f>"CR4061"</f>
        <v>CR4061</v>
      </c>
      <c r="C13075" t="s">
        <v>12838</v>
      </c>
    </row>
    <row r="13076" spans="1:3" x14ac:dyDescent="0.25">
      <c r="A13076" t="str">
        <f>"0611864160050"</f>
        <v>0611864160050</v>
      </c>
      <c r="B13076" t="str">
        <f>"CR4062"</f>
        <v>CR4062</v>
      </c>
      <c r="C13076" t="s">
        <v>12839</v>
      </c>
    </row>
    <row r="13077" spans="1:3" x14ac:dyDescent="0.25">
      <c r="A13077" t="str">
        <f>"0611864161050"</f>
        <v>0611864161050</v>
      </c>
      <c r="B13077" t="str">
        <f>"CR4870"</f>
        <v>CR4870</v>
      </c>
      <c r="C13077" t="s">
        <v>12840</v>
      </c>
    </row>
    <row r="13078" spans="1:3" x14ac:dyDescent="0.25">
      <c r="A13078" t="str">
        <f>"0611864162050"</f>
        <v>0611864162050</v>
      </c>
      <c r="B13078" t="str">
        <f>"CR3389"</f>
        <v>CR3389</v>
      </c>
      <c r="C13078" t="s">
        <v>12841</v>
      </c>
    </row>
    <row r="13079" spans="1:3" x14ac:dyDescent="0.25">
      <c r="A13079" t="str">
        <f>"0611864163050"</f>
        <v>0611864163050</v>
      </c>
      <c r="B13079" t="str">
        <f>"CR3273"</f>
        <v>CR3273</v>
      </c>
      <c r="C13079" t="s">
        <v>12842</v>
      </c>
    </row>
    <row r="13080" spans="1:3" x14ac:dyDescent="0.25">
      <c r="A13080" t="str">
        <f>"0611839914100"</f>
        <v>0611839914100</v>
      </c>
      <c r="B13080" t="str">
        <f>"LQ0829"</f>
        <v>LQ0829</v>
      </c>
      <c r="C13080" t="s">
        <v>12843</v>
      </c>
    </row>
    <row r="13081" spans="1:3" x14ac:dyDescent="0.25">
      <c r="A13081" t="str">
        <f>"0611864164050"</f>
        <v>0611864164050</v>
      </c>
      <c r="B13081" t="str">
        <f>"CR3392"</f>
        <v>CR3392</v>
      </c>
      <c r="C13081" t="s">
        <v>12844</v>
      </c>
    </row>
    <row r="13082" spans="1:3" x14ac:dyDescent="0.25">
      <c r="A13082" t="str">
        <f>"0611864165050"</f>
        <v>0611864165050</v>
      </c>
      <c r="B13082" t="str">
        <f>"CR3407"</f>
        <v>CR3407</v>
      </c>
      <c r="C13082" t="s">
        <v>12845</v>
      </c>
    </row>
    <row r="13083" spans="1:3" x14ac:dyDescent="0.25">
      <c r="A13083" t="str">
        <f>"0611864166050"</f>
        <v>0611864166050</v>
      </c>
      <c r="B13083" t="str">
        <f>"CR3275"</f>
        <v>CR3275</v>
      </c>
      <c r="C13083" t="s">
        <v>12846</v>
      </c>
    </row>
    <row r="13084" spans="1:3" x14ac:dyDescent="0.25">
      <c r="A13084" t="str">
        <f>"0611864167050"</f>
        <v>0611864167050</v>
      </c>
      <c r="B13084" t="str">
        <f>"CR3276"</f>
        <v>CR3276</v>
      </c>
      <c r="C13084" t="s">
        <v>12847</v>
      </c>
    </row>
    <row r="13085" spans="1:3" x14ac:dyDescent="0.25">
      <c r="A13085" t="str">
        <f>"0611864168050"</f>
        <v>0611864168050</v>
      </c>
      <c r="B13085" t="str">
        <f>"CR3577"</f>
        <v>CR3577</v>
      </c>
      <c r="C13085" t="s">
        <v>12848</v>
      </c>
    </row>
    <row r="13086" spans="1:3" x14ac:dyDescent="0.25">
      <c r="A13086" t="str">
        <f>"0611864169050"</f>
        <v>0611864169050</v>
      </c>
      <c r="B13086" t="str">
        <f>"CR3393"</f>
        <v>CR3393</v>
      </c>
      <c r="C13086" t="s">
        <v>12849</v>
      </c>
    </row>
    <row r="13087" spans="1:3" x14ac:dyDescent="0.25">
      <c r="A13087" t="str">
        <f>"0611840019100"</f>
        <v>0611840019100</v>
      </c>
      <c r="B13087" t="str">
        <f>"MB9150"</f>
        <v>MB9150</v>
      </c>
      <c r="C13087" t="s">
        <v>12850</v>
      </c>
    </row>
    <row r="13088" spans="1:3" x14ac:dyDescent="0.25">
      <c r="A13088" t="str">
        <f>"0611840020025"</f>
        <v>0611840020025</v>
      </c>
      <c r="B13088" t="str">
        <f>"MC3819"</f>
        <v>MC3819</v>
      </c>
      <c r="C13088" t="s">
        <v>12851</v>
      </c>
    </row>
    <row r="13089" spans="1:3" x14ac:dyDescent="0.25">
      <c r="A13089" t="str">
        <f>"0611839917025"</f>
        <v>0611839917025</v>
      </c>
      <c r="B13089" t="str">
        <f>"MQ0744"</f>
        <v>MQ0744</v>
      </c>
      <c r="C13089" t="s">
        <v>12853</v>
      </c>
    </row>
    <row r="13090" spans="1:3" x14ac:dyDescent="0.25">
      <c r="A13090" t="str">
        <f>"0611839919100"</f>
        <v>0611839919100</v>
      </c>
      <c r="B13090" t="str">
        <f>"LQ3200"</f>
        <v>LQ3200</v>
      </c>
      <c r="C13090" t="s">
        <v>12854</v>
      </c>
    </row>
    <row r="13091" spans="1:3" x14ac:dyDescent="0.25">
      <c r="A13091" t="str">
        <f>"0611864172100"</f>
        <v>0611864172100</v>
      </c>
      <c r="B13091" t="str">
        <f>"CN5409"</f>
        <v>CN5409</v>
      </c>
      <c r="C13091" t="s">
        <v>12856</v>
      </c>
    </row>
    <row r="13092" spans="1:3" x14ac:dyDescent="0.25">
      <c r="A13092" t="str">
        <f>"0611839918025"</f>
        <v>0611839918025</v>
      </c>
      <c r="B13092" t="str">
        <f>"MC0728"</f>
        <v>MC0728</v>
      </c>
      <c r="C13092" t="s">
        <v>12855</v>
      </c>
    </row>
    <row r="13093" spans="1:3" x14ac:dyDescent="0.25">
      <c r="A13093" t="str">
        <f>"0611864170050"</f>
        <v>0611864170050</v>
      </c>
      <c r="B13093" t="str">
        <f>"CR4493"</f>
        <v>CR4493</v>
      </c>
      <c r="C13093" t="s">
        <v>12857</v>
      </c>
    </row>
    <row r="13094" spans="1:3" x14ac:dyDescent="0.25">
      <c r="A13094" t="str">
        <f>"0611893669050"</f>
        <v>0611893669050</v>
      </c>
      <c r="B13094" t="str">
        <f>"CE0804"</f>
        <v>CE0804</v>
      </c>
      <c r="C13094" t="s">
        <v>12858</v>
      </c>
    </row>
    <row r="13095" spans="1:3" x14ac:dyDescent="0.25">
      <c r="A13095" t="str">
        <f>"0611864171050"</f>
        <v>0611864171050</v>
      </c>
      <c r="B13095" t="str">
        <f>"CE0804"</f>
        <v>CE0804</v>
      </c>
      <c r="C13095" t="s">
        <v>13957</v>
      </c>
    </row>
    <row r="13096" spans="1:3" x14ac:dyDescent="0.25">
      <c r="A13096" t="str">
        <f>"0611839920100"</f>
        <v>0611839920100</v>
      </c>
      <c r="B13096" t="str">
        <f>"LK1509"</f>
        <v>LK1509</v>
      </c>
      <c r="C13096" t="s">
        <v>12859</v>
      </c>
    </row>
    <row r="13097" spans="1:3" x14ac:dyDescent="0.25">
      <c r="A13097" t="str">
        <f>"0611839921100"</f>
        <v>0611839921100</v>
      </c>
      <c r="B13097" t="str">
        <f>"LQ0908"</f>
        <v>LQ0908</v>
      </c>
      <c r="C13097" t="s">
        <v>12860</v>
      </c>
    </row>
    <row r="13098" spans="1:3" x14ac:dyDescent="0.25">
      <c r="A13098" t="str">
        <f>"0611864173050"</f>
        <v>0611864173050</v>
      </c>
      <c r="B13098" t="str">
        <f>"CE0567"</f>
        <v>CE0567</v>
      </c>
      <c r="C13098" t="s">
        <v>12861</v>
      </c>
    </row>
    <row r="13099" spans="1:3" x14ac:dyDescent="0.25">
      <c r="A13099" t="str">
        <f>"0611839929100"</f>
        <v>0611839929100</v>
      </c>
      <c r="B13099" t="str">
        <f>"LB9176"</f>
        <v>LB9176</v>
      </c>
      <c r="C13099" t="s">
        <v>12862</v>
      </c>
    </row>
    <row r="13100" spans="1:3" x14ac:dyDescent="0.25">
      <c r="A13100" t="str">
        <f>"0611864174050"</f>
        <v>0611864174050</v>
      </c>
      <c r="B13100" t="str">
        <f>"CE0532"</f>
        <v>CE0532</v>
      </c>
      <c r="C13100" t="s">
        <v>12863</v>
      </c>
    </row>
    <row r="13101" spans="1:3" x14ac:dyDescent="0.25">
      <c r="A13101" t="str">
        <f>"0611864175050"</f>
        <v>0611864175050</v>
      </c>
      <c r="B13101" t="str">
        <f>"CE0533"</f>
        <v>CE0533</v>
      </c>
      <c r="C13101" t="s">
        <v>12864</v>
      </c>
    </row>
    <row r="13102" spans="1:3" x14ac:dyDescent="0.25">
      <c r="A13102" t="str">
        <f>"0611864176050"</f>
        <v>0611864176050</v>
      </c>
      <c r="B13102" t="str">
        <f>"CE0902"</f>
        <v>CE0902</v>
      </c>
      <c r="C13102" t="s">
        <v>12865</v>
      </c>
    </row>
    <row r="13103" spans="1:3" x14ac:dyDescent="0.25">
      <c r="A13103" t="str">
        <f>"0611864177050"</f>
        <v>0611864177050</v>
      </c>
      <c r="B13103" t="str">
        <f>"CE0535"</f>
        <v>CE0535</v>
      </c>
      <c r="C13103" t="s">
        <v>12866</v>
      </c>
    </row>
    <row r="13104" spans="1:3" x14ac:dyDescent="0.25">
      <c r="A13104" t="str">
        <f>"0611864178050"</f>
        <v>0611864178050</v>
      </c>
      <c r="B13104" t="str">
        <f>"CE0537"</f>
        <v>CE0537</v>
      </c>
      <c r="C13104" t="s">
        <v>12867</v>
      </c>
    </row>
    <row r="13105" spans="1:3" x14ac:dyDescent="0.25">
      <c r="A13105" t="str">
        <f>"0611864179050"</f>
        <v>0611864179050</v>
      </c>
      <c r="B13105" t="str">
        <f>"CE1496"</f>
        <v>CE1496</v>
      </c>
      <c r="C13105" t="s">
        <v>12868</v>
      </c>
    </row>
    <row r="13106" spans="1:3" x14ac:dyDescent="0.25">
      <c r="A13106" t="str">
        <f>"0611864181050"</f>
        <v>0611864181050</v>
      </c>
      <c r="B13106" t="str">
        <f>"CE1139"</f>
        <v>CE1139</v>
      </c>
      <c r="C13106" t="s">
        <v>12869</v>
      </c>
    </row>
    <row r="13107" spans="1:3" x14ac:dyDescent="0.25">
      <c r="A13107" t="str">
        <f>"0611864182050"</f>
        <v>0611864182050</v>
      </c>
      <c r="B13107" t="str">
        <f>"CE1140"</f>
        <v>CE1140</v>
      </c>
      <c r="C13107" t="s">
        <v>12870</v>
      </c>
    </row>
    <row r="13108" spans="1:3" x14ac:dyDescent="0.25">
      <c r="A13108" t="str">
        <f>"0611864183050"</f>
        <v>0611864183050</v>
      </c>
      <c r="B13108" t="str">
        <f>"CE1141"</f>
        <v>CE1141</v>
      </c>
      <c r="C13108" t="s">
        <v>12871</v>
      </c>
    </row>
    <row r="13109" spans="1:3" x14ac:dyDescent="0.25">
      <c r="A13109" t="str">
        <f>"0611864184050"</f>
        <v>0611864184050</v>
      </c>
      <c r="B13109" t="str">
        <f>"CE1142"</f>
        <v>CE1142</v>
      </c>
      <c r="C13109" t="s">
        <v>12872</v>
      </c>
    </row>
    <row r="13110" spans="1:3" x14ac:dyDescent="0.25">
      <c r="A13110" t="str">
        <f>"0611864186050"</f>
        <v>0611864186050</v>
      </c>
      <c r="B13110" t="str">
        <f>"CE1620"</f>
        <v>CE1620</v>
      </c>
      <c r="C13110" t="s">
        <v>12873</v>
      </c>
    </row>
    <row r="13111" spans="1:3" x14ac:dyDescent="0.25">
      <c r="A13111" t="str">
        <f>"0611864187050"</f>
        <v>0611864187050</v>
      </c>
      <c r="B13111" t="str">
        <f>"CE1132"</f>
        <v>CE1132</v>
      </c>
      <c r="C13111" t="s">
        <v>12874</v>
      </c>
    </row>
    <row r="13112" spans="1:3" x14ac:dyDescent="0.25">
      <c r="A13112" t="str">
        <f>"0611864188050"</f>
        <v>0611864188050</v>
      </c>
      <c r="B13112" t="str">
        <f>"CE1202"</f>
        <v>CE1202</v>
      </c>
      <c r="C13112" t="s">
        <v>12875</v>
      </c>
    </row>
    <row r="13113" spans="1:3" x14ac:dyDescent="0.25">
      <c r="A13113" t="str">
        <f>"0611864189050"</f>
        <v>0611864189050</v>
      </c>
      <c r="B13113" t="str">
        <f>"CE0540"</f>
        <v>CE0540</v>
      </c>
      <c r="C13113" t="s">
        <v>12876</v>
      </c>
    </row>
    <row r="13114" spans="1:3" x14ac:dyDescent="0.25">
      <c r="A13114" t="str">
        <f>"0611864190050"</f>
        <v>0611864190050</v>
      </c>
      <c r="B13114" t="str">
        <f>"CE0541"</f>
        <v>CE0541</v>
      </c>
      <c r="C13114" t="s">
        <v>12877</v>
      </c>
    </row>
    <row r="13115" spans="1:3" x14ac:dyDescent="0.25">
      <c r="A13115" t="str">
        <f>"0611864191050"</f>
        <v>0611864191050</v>
      </c>
      <c r="B13115" t="str">
        <f>"CE0539"</f>
        <v>CE0539</v>
      </c>
      <c r="C13115" t="s">
        <v>12878</v>
      </c>
    </row>
    <row r="13116" spans="1:3" x14ac:dyDescent="0.25">
      <c r="A13116" t="str">
        <f>"0611864192050"</f>
        <v>0611864192050</v>
      </c>
      <c r="B13116" t="str">
        <f>"CE1621"</f>
        <v>CE1621</v>
      </c>
      <c r="C13116" t="s">
        <v>12879</v>
      </c>
    </row>
    <row r="13117" spans="1:3" x14ac:dyDescent="0.25">
      <c r="A13117" t="str">
        <f>"0611864193050"</f>
        <v>0611864193050</v>
      </c>
      <c r="B13117" t="str">
        <f>"CE0543"</f>
        <v>CE0543</v>
      </c>
      <c r="C13117" t="s">
        <v>12880</v>
      </c>
    </row>
    <row r="13118" spans="1:3" x14ac:dyDescent="0.25">
      <c r="A13118" t="str">
        <f>"0611864194050"</f>
        <v>0611864194050</v>
      </c>
      <c r="B13118" t="str">
        <f>"CE1640"</f>
        <v>CE1640</v>
      </c>
      <c r="C13118" t="s">
        <v>12881</v>
      </c>
    </row>
    <row r="13119" spans="1:3" x14ac:dyDescent="0.25">
      <c r="A13119" t="str">
        <f>"0611864195050"</f>
        <v>0611864195050</v>
      </c>
      <c r="B13119" t="str">
        <f>"CE0545"</f>
        <v>CE0545</v>
      </c>
      <c r="C13119" t="s">
        <v>12882</v>
      </c>
    </row>
    <row r="13120" spans="1:3" x14ac:dyDescent="0.25">
      <c r="A13120" t="str">
        <f>"0611864196050"</f>
        <v>0611864196050</v>
      </c>
      <c r="B13120" t="str">
        <f>"CE1133"</f>
        <v>CE1133</v>
      </c>
      <c r="C13120" t="s">
        <v>12883</v>
      </c>
    </row>
    <row r="13121" spans="1:3" x14ac:dyDescent="0.25">
      <c r="A13121" t="str">
        <f>"0611864197050"</f>
        <v>0611864197050</v>
      </c>
      <c r="B13121" t="str">
        <f>"CE0546"</f>
        <v>CE0546</v>
      </c>
      <c r="C13121" t="s">
        <v>12884</v>
      </c>
    </row>
    <row r="13122" spans="1:3" x14ac:dyDescent="0.25">
      <c r="A13122" t="str">
        <f>"0611864198050"</f>
        <v>0611864198050</v>
      </c>
      <c r="B13122" t="str">
        <f>"CE1134"</f>
        <v>CE1134</v>
      </c>
      <c r="C13122" t="s">
        <v>12885</v>
      </c>
    </row>
    <row r="13123" spans="1:3" x14ac:dyDescent="0.25">
      <c r="A13123" t="str">
        <f>"0611864199050"</f>
        <v>0611864199050</v>
      </c>
      <c r="B13123" t="str">
        <f>"CE0903"</f>
        <v>CE0903</v>
      </c>
      <c r="C13123" t="s">
        <v>12886</v>
      </c>
    </row>
    <row r="13124" spans="1:3" x14ac:dyDescent="0.25">
      <c r="A13124" t="str">
        <f>"0611864200050"</f>
        <v>0611864200050</v>
      </c>
      <c r="B13124" t="str">
        <f>"CE1497"</f>
        <v>CE1497</v>
      </c>
      <c r="C13124" t="s">
        <v>12887</v>
      </c>
    </row>
    <row r="13125" spans="1:3" x14ac:dyDescent="0.25">
      <c r="A13125" t="str">
        <f>"0611864201050"</f>
        <v>0611864201050</v>
      </c>
      <c r="B13125" t="str">
        <f>"CE0547"</f>
        <v>CE0547</v>
      </c>
      <c r="C13125" t="s">
        <v>12888</v>
      </c>
    </row>
    <row r="13126" spans="1:3" x14ac:dyDescent="0.25">
      <c r="A13126" t="str">
        <f>"0611864202050"</f>
        <v>0611864202050</v>
      </c>
      <c r="B13126" t="str">
        <f>"CE0548"</f>
        <v>CE0548</v>
      </c>
      <c r="C13126" t="s">
        <v>12889</v>
      </c>
    </row>
    <row r="13127" spans="1:3" x14ac:dyDescent="0.25">
      <c r="A13127" t="str">
        <f>"0611864203050"</f>
        <v>0611864203050</v>
      </c>
      <c r="B13127" t="str">
        <f>"CE0942"</f>
        <v>CE0942</v>
      </c>
      <c r="C13127" t="s">
        <v>12890</v>
      </c>
    </row>
    <row r="13128" spans="1:3" x14ac:dyDescent="0.25">
      <c r="A13128" t="str">
        <f>"0611864204050"</f>
        <v>0611864204050</v>
      </c>
      <c r="B13128" t="str">
        <f>"CE0550"</f>
        <v>CE0550</v>
      </c>
      <c r="C13128" t="s">
        <v>12891</v>
      </c>
    </row>
    <row r="13129" spans="1:3" x14ac:dyDescent="0.25">
      <c r="A13129" t="str">
        <f>"0611864205050"</f>
        <v>0611864205050</v>
      </c>
      <c r="B13129" t="str">
        <f>"CE1245"</f>
        <v>CE1245</v>
      </c>
      <c r="C13129" t="s">
        <v>12892</v>
      </c>
    </row>
    <row r="13130" spans="1:3" x14ac:dyDescent="0.25">
      <c r="A13130" t="str">
        <f>"0611864206050"</f>
        <v>0611864206050</v>
      </c>
      <c r="B13130" t="str">
        <f>"CE0542"</f>
        <v>CE0542</v>
      </c>
      <c r="C13130" t="s">
        <v>12893</v>
      </c>
    </row>
    <row r="13131" spans="1:3" x14ac:dyDescent="0.25">
      <c r="A13131" t="str">
        <f>"0611864208050"</f>
        <v>0611864208050</v>
      </c>
      <c r="B13131" t="str">
        <f>"CE1244"</f>
        <v>CE1244</v>
      </c>
      <c r="C13131" t="s">
        <v>12894</v>
      </c>
    </row>
    <row r="13132" spans="1:3" x14ac:dyDescent="0.25">
      <c r="A13132" t="str">
        <f>"0611864209050"</f>
        <v>0611864209050</v>
      </c>
      <c r="B13132" t="str">
        <f>"CE1203"</f>
        <v>CE1203</v>
      </c>
      <c r="C13132" t="s">
        <v>12895</v>
      </c>
    </row>
    <row r="13133" spans="1:3" x14ac:dyDescent="0.25">
      <c r="A13133" t="str">
        <f>"0611864210050"</f>
        <v>0611864210050</v>
      </c>
      <c r="B13133" t="str">
        <f>"CE0832"</f>
        <v>CE0832</v>
      </c>
      <c r="C13133" t="s">
        <v>12896</v>
      </c>
    </row>
    <row r="13134" spans="1:3" x14ac:dyDescent="0.25">
      <c r="A13134" t="str">
        <f>"0611864211050"</f>
        <v>0611864211050</v>
      </c>
      <c r="B13134" t="str">
        <f>"CE0943"</f>
        <v>CE0943</v>
      </c>
      <c r="C13134" t="s">
        <v>12897</v>
      </c>
    </row>
    <row r="13135" spans="1:3" x14ac:dyDescent="0.25">
      <c r="A13135" t="str">
        <f>"0611864212050"</f>
        <v>0611864212050</v>
      </c>
      <c r="B13135" t="str">
        <f>"CE1622"</f>
        <v>CE1622</v>
      </c>
      <c r="C13135" t="s">
        <v>12898</v>
      </c>
    </row>
    <row r="13136" spans="1:3" x14ac:dyDescent="0.25">
      <c r="A13136" t="str">
        <f>"0611864213050"</f>
        <v>0611864213050</v>
      </c>
      <c r="B13136" t="str">
        <f>"CE0552"</f>
        <v>CE0552</v>
      </c>
      <c r="C13136" t="s">
        <v>12899</v>
      </c>
    </row>
    <row r="13137" spans="1:3" x14ac:dyDescent="0.25">
      <c r="A13137" t="str">
        <f>"0611864214050"</f>
        <v>0611864214050</v>
      </c>
      <c r="B13137" t="str">
        <f>"CE0553"</f>
        <v>CE0553</v>
      </c>
      <c r="C13137" t="s">
        <v>12900</v>
      </c>
    </row>
    <row r="13138" spans="1:3" x14ac:dyDescent="0.25">
      <c r="A13138" t="str">
        <f>"0611864215050"</f>
        <v>0611864215050</v>
      </c>
      <c r="B13138" t="str">
        <f>"CE0554"</f>
        <v>CE0554</v>
      </c>
      <c r="C13138" t="s">
        <v>12901</v>
      </c>
    </row>
    <row r="13139" spans="1:3" x14ac:dyDescent="0.25">
      <c r="A13139" t="str">
        <f>"0611864217050"</f>
        <v>0611864217050</v>
      </c>
      <c r="B13139" t="str">
        <f>"CE0555"</f>
        <v>CE0555</v>
      </c>
      <c r="C13139" t="s">
        <v>12902</v>
      </c>
    </row>
    <row r="13140" spans="1:3" x14ac:dyDescent="0.25">
      <c r="A13140" t="str">
        <f>"0611864218050"</f>
        <v>0611864218050</v>
      </c>
      <c r="B13140" t="str">
        <f>"CE1136"</f>
        <v>CE1136</v>
      </c>
      <c r="C13140" t="s">
        <v>12903</v>
      </c>
    </row>
    <row r="13141" spans="1:3" x14ac:dyDescent="0.25">
      <c r="A13141" t="str">
        <f>"0611864219050"</f>
        <v>0611864219050</v>
      </c>
      <c r="B13141" t="str">
        <f>"CE1498"</f>
        <v>CE1498</v>
      </c>
      <c r="C13141" t="s">
        <v>12904</v>
      </c>
    </row>
    <row r="13142" spans="1:3" x14ac:dyDescent="0.25">
      <c r="A13142" t="str">
        <f>"0611864220050"</f>
        <v>0611864220050</v>
      </c>
      <c r="B13142" t="str">
        <f>"CE1499"</f>
        <v>CE1499</v>
      </c>
      <c r="C13142" t="s">
        <v>12905</v>
      </c>
    </row>
    <row r="13143" spans="1:3" x14ac:dyDescent="0.25">
      <c r="A13143" t="str">
        <f>"0611864221050"</f>
        <v>0611864221050</v>
      </c>
      <c r="B13143" t="str">
        <f>"CE0835"</f>
        <v>CE0835</v>
      </c>
      <c r="C13143" t="s">
        <v>12906</v>
      </c>
    </row>
    <row r="13144" spans="1:3" x14ac:dyDescent="0.25">
      <c r="A13144" t="str">
        <f>"0611864222050"</f>
        <v>0611864222050</v>
      </c>
      <c r="B13144" t="str">
        <f>"CE0559"</f>
        <v>CE0559</v>
      </c>
      <c r="C13144" t="s">
        <v>12907</v>
      </c>
    </row>
    <row r="13145" spans="1:3" x14ac:dyDescent="0.25">
      <c r="A13145" t="str">
        <f>"0611864225050"</f>
        <v>0611864225050</v>
      </c>
      <c r="B13145" t="str">
        <f>"CE0836"</f>
        <v>CE0836</v>
      </c>
      <c r="C13145" t="s">
        <v>12908</v>
      </c>
    </row>
    <row r="13146" spans="1:3" x14ac:dyDescent="0.25">
      <c r="A13146" t="str">
        <f>"0611864226050"</f>
        <v>0611864226050</v>
      </c>
      <c r="B13146" t="str">
        <f>"CE0837"</f>
        <v>CE0837</v>
      </c>
      <c r="C13146" t="s">
        <v>12909</v>
      </c>
    </row>
    <row r="13147" spans="1:3" x14ac:dyDescent="0.25">
      <c r="A13147" t="str">
        <f>"0611864227050"</f>
        <v>0611864227050</v>
      </c>
      <c r="B13147" t="str">
        <f>"CE0560"</f>
        <v>CE0560</v>
      </c>
      <c r="C13147" t="s">
        <v>12910</v>
      </c>
    </row>
    <row r="13148" spans="1:3" x14ac:dyDescent="0.25">
      <c r="A13148" t="str">
        <f>"0611864228050"</f>
        <v>0611864228050</v>
      </c>
      <c r="B13148" t="str">
        <f>"CE1247"</f>
        <v>CE1247</v>
      </c>
      <c r="C13148" t="s">
        <v>12911</v>
      </c>
    </row>
    <row r="13149" spans="1:3" x14ac:dyDescent="0.25">
      <c r="A13149" t="str">
        <f>"0611864229050"</f>
        <v>0611864229050</v>
      </c>
      <c r="B13149" t="str">
        <f>"CE1623"</f>
        <v>CE1623</v>
      </c>
      <c r="C13149" t="s">
        <v>12912</v>
      </c>
    </row>
    <row r="13150" spans="1:3" x14ac:dyDescent="0.25">
      <c r="A13150" t="str">
        <f>"0611864230050"</f>
        <v>0611864230050</v>
      </c>
      <c r="B13150" t="str">
        <f>"CE1204"</f>
        <v>CE1204</v>
      </c>
      <c r="C13150" t="s">
        <v>12913</v>
      </c>
    </row>
    <row r="13151" spans="1:3" x14ac:dyDescent="0.25">
      <c r="A13151" t="str">
        <f>"0611864231050"</f>
        <v>0611864231050</v>
      </c>
      <c r="B13151" t="str">
        <f>"CE1137"</f>
        <v>CE1137</v>
      </c>
      <c r="C13151" t="s">
        <v>12914</v>
      </c>
    </row>
    <row r="13152" spans="1:3" x14ac:dyDescent="0.25">
      <c r="A13152" t="str">
        <f>"0611864232050"</f>
        <v>0611864232050</v>
      </c>
      <c r="B13152" t="str">
        <f>"CE1138"</f>
        <v>CE1138</v>
      </c>
      <c r="C13152" t="s">
        <v>12915</v>
      </c>
    </row>
    <row r="13153" spans="1:3" x14ac:dyDescent="0.25">
      <c r="A13153" t="str">
        <f>"0611864234050"</f>
        <v>0611864234050</v>
      </c>
      <c r="B13153" t="str">
        <f>"CE1205"</f>
        <v>CE1205</v>
      </c>
      <c r="C13153" t="s">
        <v>12916</v>
      </c>
    </row>
    <row r="13154" spans="1:3" x14ac:dyDescent="0.25">
      <c r="A13154" t="str">
        <f>"0611864235050"</f>
        <v>0611864235050</v>
      </c>
      <c r="B13154" t="str">
        <f>"CE0838"</f>
        <v>CE0838</v>
      </c>
      <c r="C13154" t="s">
        <v>12917</v>
      </c>
    </row>
    <row r="13155" spans="1:3" x14ac:dyDescent="0.25">
      <c r="A13155" t="str">
        <f>"0611864237050"</f>
        <v>0611864237050</v>
      </c>
      <c r="B13155" t="str">
        <f>"CE0831"</f>
        <v>CE0831</v>
      </c>
      <c r="C13155" t="s">
        <v>12918</v>
      </c>
    </row>
    <row r="13156" spans="1:3" x14ac:dyDescent="0.25">
      <c r="A13156" t="str">
        <f>"0611830672100"</f>
        <v>0611830672100</v>
      </c>
      <c r="B13156" t="str">
        <f>"LC9540"</f>
        <v>LC9540</v>
      </c>
      <c r="C13156" t="s">
        <v>12919</v>
      </c>
    </row>
    <row r="13157" spans="1:3" x14ac:dyDescent="0.25">
      <c r="A13157" t="str">
        <f>"0611830673025"</f>
        <v>0611830673025</v>
      </c>
      <c r="B13157" t="str">
        <f>"MC0967"</f>
        <v>MC0967</v>
      </c>
      <c r="C13157" t="s">
        <v>12920</v>
      </c>
    </row>
    <row r="13158" spans="1:3" x14ac:dyDescent="0.25">
      <c r="A13158" t="str">
        <f>"0611864238050"</f>
        <v>0611864238050</v>
      </c>
      <c r="B13158" t="str">
        <f>"CR3023"</f>
        <v>CR3023</v>
      </c>
      <c r="C13158" t="s">
        <v>12921</v>
      </c>
    </row>
    <row r="13159" spans="1:3" x14ac:dyDescent="0.25">
      <c r="A13159" t="str">
        <f>"0611864239050"</f>
        <v>0611864239050</v>
      </c>
      <c r="B13159" t="str">
        <f>"CR3395"</f>
        <v>CR3395</v>
      </c>
      <c r="C13159" t="s">
        <v>12922</v>
      </c>
    </row>
    <row r="13160" spans="1:3" x14ac:dyDescent="0.25">
      <c r="A13160" t="str">
        <f>"0611864240050"</f>
        <v>0611864240050</v>
      </c>
      <c r="B13160" t="str">
        <f>"CR3296"</f>
        <v>CR3296</v>
      </c>
      <c r="C13160" t="s">
        <v>12923</v>
      </c>
    </row>
    <row r="13161" spans="1:3" x14ac:dyDescent="0.25">
      <c r="A13161" t="str">
        <f>"0611864241050"</f>
        <v>0611864241050</v>
      </c>
      <c r="B13161" t="str">
        <f>"CR3582"</f>
        <v>CR3582</v>
      </c>
      <c r="C13161" t="s">
        <v>12924</v>
      </c>
    </row>
    <row r="13162" spans="1:3" x14ac:dyDescent="0.25">
      <c r="A13162" t="str">
        <f>"0611864242050"</f>
        <v>0611864242050</v>
      </c>
      <c r="B13162" t="str">
        <f>"CE0563"</f>
        <v>CE0563</v>
      </c>
      <c r="C13162" t="s">
        <v>12925</v>
      </c>
    </row>
    <row r="13163" spans="1:3" x14ac:dyDescent="0.25">
      <c r="A13163" t="str">
        <f>"0611864243050"</f>
        <v>0611864243050</v>
      </c>
      <c r="B13163" t="str">
        <f>"CE0564"</f>
        <v>CE0564</v>
      </c>
      <c r="C13163" t="s">
        <v>12926</v>
      </c>
    </row>
    <row r="13164" spans="1:3" x14ac:dyDescent="0.25">
      <c r="A13164" t="str">
        <f>"0611864244050"</f>
        <v>0611864244050</v>
      </c>
      <c r="B13164" t="str">
        <f>"CE0565"</f>
        <v>CE0565</v>
      </c>
      <c r="C13164" t="s">
        <v>12927</v>
      </c>
    </row>
    <row r="13165" spans="1:3" x14ac:dyDescent="0.25">
      <c r="A13165" t="str">
        <f>"0611864245050"</f>
        <v>0611864245050</v>
      </c>
      <c r="B13165" t="str">
        <f>"CE0569"</f>
        <v>CE0569</v>
      </c>
      <c r="C13165" t="s">
        <v>12928</v>
      </c>
    </row>
    <row r="13166" spans="1:3" x14ac:dyDescent="0.25">
      <c r="A13166" t="str">
        <f>"0611864246050"</f>
        <v>0611864246050</v>
      </c>
      <c r="B13166" t="str">
        <f>"CE0573"</f>
        <v>CE0573</v>
      </c>
      <c r="C13166" t="s">
        <v>12929</v>
      </c>
    </row>
    <row r="13167" spans="1:3" x14ac:dyDescent="0.25">
      <c r="A13167" t="str">
        <f>"0611839930100"</f>
        <v>0611839930100</v>
      </c>
      <c r="B13167" t="str">
        <f>"LK1778"</f>
        <v>LK1778</v>
      </c>
      <c r="C13167" t="s">
        <v>12930</v>
      </c>
    </row>
    <row r="13168" spans="1:3" x14ac:dyDescent="0.25">
      <c r="A13168" t="str">
        <f>"0611839931100"</f>
        <v>0611839931100</v>
      </c>
      <c r="B13168" t="str">
        <f>"LK3048"</f>
        <v>LK3048</v>
      </c>
      <c r="C13168" t="s">
        <v>12931</v>
      </c>
    </row>
    <row r="13169" spans="1:3" x14ac:dyDescent="0.25">
      <c r="A13169" t="str">
        <f>"0611839932100"</f>
        <v>0611839932100</v>
      </c>
      <c r="B13169" t="str">
        <f>"LB9253"</f>
        <v>LB9253</v>
      </c>
      <c r="C13169" t="s">
        <v>12932</v>
      </c>
    </row>
    <row r="13170" spans="1:3" x14ac:dyDescent="0.25">
      <c r="A13170" t="str">
        <f>"0611839933100"</f>
        <v>0611839933100</v>
      </c>
      <c r="B13170" t="str">
        <f>"LB9254"</f>
        <v>LB9254</v>
      </c>
      <c r="C13170" t="s">
        <v>12933</v>
      </c>
    </row>
    <row r="13171" spans="1:3" x14ac:dyDescent="0.25">
      <c r="A13171" t="str">
        <f>"0611839934100"</f>
        <v>0611839934100</v>
      </c>
      <c r="B13171" t="str">
        <f>"LB9210"</f>
        <v>LB9210</v>
      </c>
      <c r="C13171" t="s">
        <v>12934</v>
      </c>
    </row>
    <row r="13172" spans="1:3" x14ac:dyDescent="0.25">
      <c r="A13172" t="str">
        <f>"0611839935100"</f>
        <v>0611839935100</v>
      </c>
      <c r="B13172" t="str">
        <f>"LK6461"</f>
        <v>LK6461</v>
      </c>
      <c r="C13172" t="s">
        <v>12935</v>
      </c>
    </row>
    <row r="13173" spans="1:3" x14ac:dyDescent="0.25">
      <c r="A13173" t="str">
        <f>"0611839936100"</f>
        <v>0611839936100</v>
      </c>
      <c r="B13173" t="str">
        <f>"LK6299"</f>
        <v>LK6299</v>
      </c>
      <c r="C13173" t="s">
        <v>12936</v>
      </c>
    </row>
    <row r="13174" spans="1:3" x14ac:dyDescent="0.25">
      <c r="A13174" t="str">
        <f>"0611839937100"</f>
        <v>0611839937100</v>
      </c>
      <c r="B13174" t="str">
        <f>"LK6301"</f>
        <v>LK6301</v>
      </c>
      <c r="C13174" t="s">
        <v>12937</v>
      </c>
    </row>
    <row r="13175" spans="1:3" x14ac:dyDescent="0.25">
      <c r="A13175" t="str">
        <f>"0611839938100"</f>
        <v>0611839938100</v>
      </c>
      <c r="B13175" t="str">
        <f>"LK6302"</f>
        <v>LK6302</v>
      </c>
      <c r="C13175" t="s">
        <v>12938</v>
      </c>
    </row>
    <row r="13176" spans="1:3" x14ac:dyDescent="0.25">
      <c r="A13176" t="str">
        <f>"0611839939100"</f>
        <v>0611839939100</v>
      </c>
      <c r="B13176" t="str">
        <f>"LK6462"</f>
        <v>LK6462</v>
      </c>
      <c r="C13176" t="s">
        <v>12939</v>
      </c>
    </row>
    <row r="13177" spans="1:3" x14ac:dyDescent="0.25">
      <c r="A13177" t="str">
        <f>"0611839940100"</f>
        <v>0611839940100</v>
      </c>
      <c r="B13177" t="str">
        <f>"LK0425"</f>
        <v>LK0425</v>
      </c>
      <c r="C13177" t="s">
        <v>12940</v>
      </c>
    </row>
    <row r="13178" spans="1:3" x14ac:dyDescent="0.25">
      <c r="A13178" t="str">
        <f>"0611839941100"</f>
        <v>0611839941100</v>
      </c>
      <c r="B13178" t="str">
        <f>"LK1779"</f>
        <v>LK1779</v>
      </c>
      <c r="C13178" t="s">
        <v>12941</v>
      </c>
    </row>
    <row r="13179" spans="1:3" x14ac:dyDescent="0.25">
      <c r="A13179" t="str">
        <f>"0611839943100"</f>
        <v>0611839943100</v>
      </c>
      <c r="B13179" t="str">
        <f>"LK1410"</f>
        <v>LK1410</v>
      </c>
      <c r="C13179" t="s">
        <v>12942</v>
      </c>
    </row>
    <row r="13180" spans="1:3" x14ac:dyDescent="0.25">
      <c r="A13180" t="str">
        <f>"0611839944100"</f>
        <v>0611839944100</v>
      </c>
      <c r="B13180" t="str">
        <f>"LB9183"</f>
        <v>LB9183</v>
      </c>
      <c r="C13180" t="s">
        <v>12943</v>
      </c>
    </row>
    <row r="13181" spans="1:3" x14ac:dyDescent="0.25">
      <c r="A13181" t="str">
        <f>"0611839945100"</f>
        <v>0611839945100</v>
      </c>
      <c r="B13181" t="str">
        <f>"LB9212"</f>
        <v>LB9212</v>
      </c>
      <c r="C13181" t="s">
        <v>12944</v>
      </c>
    </row>
    <row r="13182" spans="1:3" x14ac:dyDescent="0.25">
      <c r="A13182" t="str">
        <f>"0611839946100"</f>
        <v>0611839946100</v>
      </c>
      <c r="B13182" t="str">
        <f>"LK4231"</f>
        <v>LK4231</v>
      </c>
      <c r="C13182" t="s">
        <v>12945</v>
      </c>
    </row>
    <row r="13183" spans="1:3" x14ac:dyDescent="0.25">
      <c r="A13183" t="str">
        <f>"0611839947100"</f>
        <v>0611839947100</v>
      </c>
      <c r="B13183" t="str">
        <f>"LB9213"</f>
        <v>LB9213</v>
      </c>
      <c r="C13183" t="s">
        <v>12946</v>
      </c>
    </row>
    <row r="13184" spans="1:3" x14ac:dyDescent="0.25">
      <c r="A13184" t="str">
        <f>"0611839948100"</f>
        <v>0611839948100</v>
      </c>
      <c r="B13184" t="str">
        <f>"LB9214"</f>
        <v>LB9214</v>
      </c>
      <c r="C13184" t="s">
        <v>12947</v>
      </c>
    </row>
    <row r="13185" spans="1:3" x14ac:dyDescent="0.25">
      <c r="A13185" t="str">
        <f>"0611839949100"</f>
        <v>0611839949100</v>
      </c>
      <c r="B13185" t="str">
        <f>"LK1411"</f>
        <v>LK1411</v>
      </c>
      <c r="C13185" t="s">
        <v>12948</v>
      </c>
    </row>
    <row r="13186" spans="1:3" x14ac:dyDescent="0.25">
      <c r="A13186" t="str">
        <f>"0611839950100"</f>
        <v>0611839950100</v>
      </c>
      <c r="B13186" t="str">
        <f>"LB9216"</f>
        <v>LB9216</v>
      </c>
      <c r="C13186" t="s">
        <v>12949</v>
      </c>
    </row>
    <row r="13187" spans="1:3" x14ac:dyDescent="0.25">
      <c r="A13187" t="str">
        <f>"0611839952100"</f>
        <v>0611839952100</v>
      </c>
      <c r="B13187" t="str">
        <f>"LB9218"</f>
        <v>LB9218</v>
      </c>
      <c r="C13187" t="s">
        <v>12950</v>
      </c>
    </row>
    <row r="13188" spans="1:3" x14ac:dyDescent="0.25">
      <c r="A13188" t="str">
        <f>"0611884492100"</f>
        <v>0611884492100</v>
      </c>
      <c r="B13188" t="str">
        <f>"LK7181"</f>
        <v>LK7181</v>
      </c>
      <c r="C13188" t="s">
        <v>12951</v>
      </c>
    </row>
    <row r="13189" spans="1:3" x14ac:dyDescent="0.25">
      <c r="A13189" t="str">
        <f>"0611839953100"</f>
        <v>0611839953100</v>
      </c>
      <c r="B13189" t="str">
        <f>"LB9219"</f>
        <v>LB9219</v>
      </c>
      <c r="C13189" t="s">
        <v>12952</v>
      </c>
    </row>
    <row r="13190" spans="1:3" x14ac:dyDescent="0.25">
      <c r="A13190" t="str">
        <f>"0611839954100"</f>
        <v>0611839954100</v>
      </c>
      <c r="B13190" t="str">
        <f>"LB9255"</f>
        <v>LB9255</v>
      </c>
      <c r="C13190" t="s">
        <v>12953</v>
      </c>
    </row>
    <row r="13191" spans="1:3" x14ac:dyDescent="0.25">
      <c r="A13191" t="str">
        <f>"0611839955100"</f>
        <v>0611839955100</v>
      </c>
      <c r="B13191" t="str">
        <f>"LB9221"</f>
        <v>LB9221</v>
      </c>
      <c r="C13191" t="s">
        <v>12954</v>
      </c>
    </row>
    <row r="13192" spans="1:3" x14ac:dyDescent="0.25">
      <c r="A13192" t="str">
        <f>"0611839956100"</f>
        <v>0611839956100</v>
      </c>
      <c r="B13192" t="str">
        <f>"LK0539"</f>
        <v>LK0539</v>
      </c>
      <c r="C13192" t="s">
        <v>12955</v>
      </c>
    </row>
    <row r="13193" spans="1:3" x14ac:dyDescent="0.25">
      <c r="A13193" t="str">
        <f>"0611839957100"</f>
        <v>0611839957100</v>
      </c>
      <c r="B13193" t="str">
        <f>"LK6304"</f>
        <v>LK6304</v>
      </c>
      <c r="C13193" t="s">
        <v>12956</v>
      </c>
    </row>
    <row r="13194" spans="1:3" x14ac:dyDescent="0.25">
      <c r="A13194" t="str">
        <f>"0611839958100"</f>
        <v>0611839958100</v>
      </c>
      <c r="B13194" t="str">
        <f>"LK6305"</f>
        <v>LK6305</v>
      </c>
      <c r="C13194" t="s">
        <v>12957</v>
      </c>
    </row>
    <row r="13195" spans="1:3" x14ac:dyDescent="0.25">
      <c r="A13195" t="str">
        <f>"0611839959100"</f>
        <v>0611839959100</v>
      </c>
      <c r="B13195" t="str">
        <f>"LB9222"</f>
        <v>LB9222</v>
      </c>
      <c r="C13195" t="s">
        <v>12958</v>
      </c>
    </row>
    <row r="13196" spans="1:3" x14ac:dyDescent="0.25">
      <c r="A13196" t="str">
        <f>"0611839960100"</f>
        <v>0611839960100</v>
      </c>
      <c r="B13196" t="str">
        <f>"LB9171"</f>
        <v>LB9171</v>
      </c>
      <c r="C13196" t="s">
        <v>12959</v>
      </c>
    </row>
    <row r="13197" spans="1:3" x14ac:dyDescent="0.25">
      <c r="A13197" t="str">
        <f>"0611839961100"</f>
        <v>0611839961100</v>
      </c>
      <c r="B13197" t="str">
        <f>"LB9223"</f>
        <v>LB9223</v>
      </c>
      <c r="C13197" t="s">
        <v>12960</v>
      </c>
    </row>
    <row r="13198" spans="1:3" x14ac:dyDescent="0.25">
      <c r="A13198" t="str">
        <f>"0611857165100"</f>
        <v>0611857165100</v>
      </c>
      <c r="B13198" t="str">
        <f>"LK7105"</f>
        <v>LK7105</v>
      </c>
      <c r="C13198" t="s">
        <v>12961</v>
      </c>
    </row>
    <row r="13199" spans="1:3" x14ac:dyDescent="0.25">
      <c r="A13199" t="str">
        <f>"0611839962100"</f>
        <v>0611839962100</v>
      </c>
      <c r="B13199" t="str">
        <f>"LB9227"</f>
        <v>LB9227</v>
      </c>
      <c r="C13199" t="s">
        <v>12962</v>
      </c>
    </row>
    <row r="13200" spans="1:3" x14ac:dyDescent="0.25">
      <c r="A13200" t="str">
        <f>"0611839963100"</f>
        <v>0611839963100</v>
      </c>
      <c r="B13200" t="str">
        <f>"LB9184"</f>
        <v>LB9184</v>
      </c>
      <c r="C13200" t="s">
        <v>12963</v>
      </c>
    </row>
    <row r="13201" spans="1:3" x14ac:dyDescent="0.25">
      <c r="A13201" t="str">
        <f>"0611839967100"</f>
        <v>0611839967100</v>
      </c>
      <c r="B13201" t="str">
        <f>"LK3520"</f>
        <v>LK3520</v>
      </c>
      <c r="C13201" t="s">
        <v>12967</v>
      </c>
    </row>
    <row r="13202" spans="1:3" x14ac:dyDescent="0.25">
      <c r="A13202" t="str">
        <f>"0611839964100"</f>
        <v>0611839964100</v>
      </c>
      <c r="B13202" t="str">
        <f>"LK6560"</f>
        <v>LK6560</v>
      </c>
      <c r="C13202" t="s">
        <v>12964</v>
      </c>
    </row>
    <row r="13203" spans="1:3" x14ac:dyDescent="0.25">
      <c r="A13203" t="str">
        <f>"0611839966100"</f>
        <v>0611839966100</v>
      </c>
      <c r="B13203" t="str">
        <f>"LK3517"</f>
        <v>LK3517</v>
      </c>
      <c r="C13203" t="s">
        <v>12966</v>
      </c>
    </row>
    <row r="13204" spans="1:3" x14ac:dyDescent="0.25">
      <c r="A13204" t="str">
        <f>"0611839965100"</f>
        <v>0611839965100</v>
      </c>
      <c r="B13204" t="str">
        <f>"LK3518"</f>
        <v>LK3518</v>
      </c>
      <c r="C13204" t="s">
        <v>12965</v>
      </c>
    </row>
    <row r="13205" spans="1:3" x14ac:dyDescent="0.25">
      <c r="A13205" t="str">
        <f>"0611839968100"</f>
        <v>0611839968100</v>
      </c>
      <c r="B13205" t="str">
        <f>"LK3521"</f>
        <v>LK3521</v>
      </c>
      <c r="C13205" t="s">
        <v>12968</v>
      </c>
    </row>
    <row r="13206" spans="1:3" x14ac:dyDescent="0.25">
      <c r="A13206" t="str">
        <f>"0611839970100"</f>
        <v>0611839970100</v>
      </c>
      <c r="B13206" t="str">
        <f>"LK5147"</f>
        <v>LK5147</v>
      </c>
      <c r="C13206" t="s">
        <v>12969</v>
      </c>
    </row>
    <row r="13207" spans="1:3" x14ac:dyDescent="0.25">
      <c r="A13207" t="str">
        <f>"0611839971100"</f>
        <v>0611839971100</v>
      </c>
      <c r="B13207" t="str">
        <f>"LK3522"</f>
        <v>LK3522</v>
      </c>
      <c r="C13207" t="s">
        <v>12970</v>
      </c>
    </row>
    <row r="13208" spans="1:3" x14ac:dyDescent="0.25">
      <c r="A13208" t="str">
        <f>"0611839972100"</f>
        <v>0611839972100</v>
      </c>
      <c r="B13208" t="str">
        <f>"LK3523"</f>
        <v>LK3523</v>
      </c>
      <c r="C13208" t="s">
        <v>12971</v>
      </c>
    </row>
    <row r="13209" spans="1:3" x14ac:dyDescent="0.25">
      <c r="A13209" t="str">
        <f>"0611839974100"</f>
        <v>0611839974100</v>
      </c>
      <c r="B13209" t="str">
        <f>"LK3524"</f>
        <v>LK3524</v>
      </c>
      <c r="C13209" t="s">
        <v>12972</v>
      </c>
    </row>
    <row r="13210" spans="1:3" x14ac:dyDescent="0.25">
      <c r="A13210" t="str">
        <f>"0611839975100"</f>
        <v>0611839975100</v>
      </c>
      <c r="B13210" t="str">
        <f>"LK3526"</f>
        <v>LK3526</v>
      </c>
      <c r="C13210" t="s">
        <v>12973</v>
      </c>
    </row>
    <row r="13211" spans="1:3" x14ac:dyDescent="0.25">
      <c r="A13211" t="str">
        <f>"0611839976100"</f>
        <v>0611839976100</v>
      </c>
      <c r="B13211" t="str">
        <f>"LK5940"</f>
        <v>LK5940</v>
      </c>
      <c r="C13211" t="s">
        <v>12974</v>
      </c>
    </row>
    <row r="13212" spans="1:3" x14ac:dyDescent="0.25">
      <c r="A13212" t="str">
        <f>"0611839977100"</f>
        <v>0611839977100</v>
      </c>
      <c r="B13212" t="str">
        <f>"LB9224"</f>
        <v>LB9224</v>
      </c>
      <c r="C13212" t="s">
        <v>12975</v>
      </c>
    </row>
    <row r="13213" spans="1:3" x14ac:dyDescent="0.25">
      <c r="A13213" t="str">
        <f>"0611839978100"</f>
        <v>0611839978100</v>
      </c>
      <c r="B13213" t="str">
        <f>"LK3527"</f>
        <v>LK3527</v>
      </c>
      <c r="C13213" t="s">
        <v>12976</v>
      </c>
    </row>
    <row r="13214" spans="1:3" x14ac:dyDescent="0.25">
      <c r="A13214" t="str">
        <f>"0611839979100"</f>
        <v>0611839979100</v>
      </c>
      <c r="B13214" t="str">
        <f>"LB9172"</f>
        <v>LB9172</v>
      </c>
      <c r="C13214" t="s">
        <v>12977</v>
      </c>
    </row>
    <row r="13215" spans="1:3" x14ac:dyDescent="0.25">
      <c r="A13215" t="str">
        <f>"0611864248050"</f>
        <v>0611864248050</v>
      </c>
      <c r="B13215" t="str">
        <f>"CR3409"</f>
        <v>CR3409</v>
      </c>
      <c r="C13215" t="s">
        <v>12978</v>
      </c>
    </row>
    <row r="13216" spans="1:3" x14ac:dyDescent="0.25">
      <c r="A13216" t="str">
        <f>"0611839980100"</f>
        <v>0611839980100</v>
      </c>
      <c r="B13216" t="str">
        <f>"LH8942"</f>
        <v>LH8942</v>
      </c>
      <c r="C13216" t="s">
        <v>12979</v>
      </c>
    </row>
    <row r="13217" spans="1:3" x14ac:dyDescent="0.25">
      <c r="A13217" t="str">
        <f>"0611839981100"</f>
        <v>0611839981100</v>
      </c>
      <c r="B13217" t="str">
        <f>"LB9256"</f>
        <v>LB9256</v>
      </c>
      <c r="C13217" t="s">
        <v>12980</v>
      </c>
    </row>
    <row r="13218" spans="1:3" x14ac:dyDescent="0.25">
      <c r="A13218" t="str">
        <f>"0611906992100"</f>
        <v>0611906992100</v>
      </c>
      <c r="B13218" t="str">
        <f>"LK7236"</f>
        <v>LK7236</v>
      </c>
      <c r="C13218" t="s">
        <v>12981</v>
      </c>
    </row>
    <row r="13219" spans="1:3" x14ac:dyDescent="0.25">
      <c r="A13219" t="str">
        <f>"0611839982100"</f>
        <v>0611839982100</v>
      </c>
      <c r="B13219" t="str">
        <f>"LQ0773"</f>
        <v>LQ0773</v>
      </c>
      <c r="C13219" t="s">
        <v>12982</v>
      </c>
    </row>
    <row r="13220" spans="1:3" x14ac:dyDescent="0.25">
      <c r="A13220" t="str">
        <f>"0611839983100"</f>
        <v>0611839983100</v>
      </c>
      <c r="B13220" t="str">
        <f>"LK1413"</f>
        <v>LK1413</v>
      </c>
      <c r="C13220" t="s">
        <v>12983</v>
      </c>
    </row>
    <row r="13221" spans="1:3" x14ac:dyDescent="0.25">
      <c r="A13221" t="str">
        <f>"0611839984100"</f>
        <v>0611839984100</v>
      </c>
      <c r="B13221" t="str">
        <f>"LB9226"</f>
        <v>LB9226</v>
      </c>
      <c r="C13221" t="s">
        <v>12984</v>
      </c>
    </row>
    <row r="13222" spans="1:3" x14ac:dyDescent="0.25">
      <c r="A13222" t="str">
        <f>"0611839985100"</f>
        <v>0611839985100</v>
      </c>
      <c r="B13222" t="str">
        <f>"LB9262"</f>
        <v>LB9262</v>
      </c>
      <c r="C13222" t="s">
        <v>12985</v>
      </c>
    </row>
    <row r="13223" spans="1:3" x14ac:dyDescent="0.25">
      <c r="A13223" t="str">
        <f>"0611839986100"</f>
        <v>0611839986100</v>
      </c>
      <c r="B13223" t="str">
        <f>"LB9263"</f>
        <v>LB9263</v>
      </c>
      <c r="C13223" t="s">
        <v>12986</v>
      </c>
    </row>
    <row r="13224" spans="1:3" x14ac:dyDescent="0.25">
      <c r="A13224" t="str">
        <f>"0611839988100"</f>
        <v>0611839988100</v>
      </c>
      <c r="B13224" t="str">
        <f>"LK4372"</f>
        <v>LK4372</v>
      </c>
      <c r="C13224" t="s">
        <v>12987</v>
      </c>
    </row>
    <row r="13225" spans="1:3" x14ac:dyDescent="0.25">
      <c r="A13225" t="str">
        <f>"0611839989100"</f>
        <v>0611839989100</v>
      </c>
      <c r="B13225" t="str">
        <f>"LK4056"</f>
        <v>LK4056</v>
      </c>
      <c r="C13225" t="s">
        <v>12988</v>
      </c>
    </row>
    <row r="13226" spans="1:3" x14ac:dyDescent="0.25">
      <c r="A13226" t="str">
        <f>"0611839990100"</f>
        <v>0611839990100</v>
      </c>
      <c r="B13226" t="str">
        <f>"LK3235"</f>
        <v>LK3235</v>
      </c>
      <c r="C13226" t="s">
        <v>12989</v>
      </c>
    </row>
    <row r="13227" spans="1:3" x14ac:dyDescent="0.25">
      <c r="A13227" t="str">
        <f>"0611839991100"</f>
        <v>0611839991100</v>
      </c>
      <c r="B13227" t="str">
        <f>"LK3236"</f>
        <v>LK3236</v>
      </c>
      <c r="C13227" t="s">
        <v>12990</v>
      </c>
    </row>
    <row r="13228" spans="1:3" x14ac:dyDescent="0.25">
      <c r="A13228" t="str">
        <f>"0611839992100"</f>
        <v>0611839992100</v>
      </c>
      <c r="B13228" t="str">
        <f>"LK4057"</f>
        <v>LK4057</v>
      </c>
      <c r="C13228" t="s">
        <v>12991</v>
      </c>
    </row>
    <row r="13229" spans="1:3" x14ac:dyDescent="0.25">
      <c r="A13229" t="str">
        <f>"0611839993100"</f>
        <v>0611839993100</v>
      </c>
      <c r="B13229" t="str">
        <f>"LK4059"</f>
        <v>LK4059</v>
      </c>
      <c r="C13229" t="s">
        <v>12992</v>
      </c>
    </row>
    <row r="13230" spans="1:3" x14ac:dyDescent="0.25">
      <c r="A13230" t="str">
        <f>"0611839994100"</f>
        <v>0611839994100</v>
      </c>
      <c r="B13230" t="str">
        <f>"LK3237"</f>
        <v>LK3237</v>
      </c>
      <c r="C13230" t="s">
        <v>12993</v>
      </c>
    </row>
    <row r="13231" spans="1:3" x14ac:dyDescent="0.25">
      <c r="A13231" t="str">
        <f>"0611839996100"</f>
        <v>0611839996100</v>
      </c>
      <c r="B13231" t="str">
        <f>"LK3239"</f>
        <v>LK3239</v>
      </c>
      <c r="C13231" t="s">
        <v>12994</v>
      </c>
    </row>
    <row r="13232" spans="1:3" x14ac:dyDescent="0.25">
      <c r="A13232" t="str">
        <f>"0611839997100"</f>
        <v>0611839997100</v>
      </c>
      <c r="B13232" t="str">
        <f>"LK4060"</f>
        <v>LK4060</v>
      </c>
      <c r="C13232" t="s">
        <v>12995</v>
      </c>
    </row>
    <row r="13233" spans="1:3" x14ac:dyDescent="0.25">
      <c r="A13233" t="str">
        <f>"0611839998100"</f>
        <v>0611839998100</v>
      </c>
      <c r="B13233" t="str">
        <f>"LK6156"</f>
        <v>LK6156</v>
      </c>
      <c r="C13233" t="s">
        <v>12996</v>
      </c>
    </row>
    <row r="13234" spans="1:3" x14ac:dyDescent="0.25">
      <c r="A13234" t="str">
        <f>"0611839999100"</f>
        <v>0611839999100</v>
      </c>
      <c r="B13234" t="str">
        <f>"LK6951"</f>
        <v>LK6951</v>
      </c>
      <c r="C13234" t="s">
        <v>12997</v>
      </c>
    </row>
    <row r="13235" spans="1:3" x14ac:dyDescent="0.25">
      <c r="A13235" t="str">
        <f>"0611840000100"</f>
        <v>0611840000100</v>
      </c>
      <c r="B13235" t="str">
        <f>"LK3241"</f>
        <v>LK3241</v>
      </c>
      <c r="C13235" t="s">
        <v>12998</v>
      </c>
    </row>
    <row r="13236" spans="1:3" x14ac:dyDescent="0.25">
      <c r="A13236" t="str">
        <f>"0611840001100"</f>
        <v>0611840001100</v>
      </c>
      <c r="B13236" t="str">
        <f>"LQ6046"</f>
        <v>LQ6046</v>
      </c>
      <c r="C13236" t="s">
        <v>12999</v>
      </c>
    </row>
    <row r="13237" spans="1:3" x14ac:dyDescent="0.25">
      <c r="A13237" t="str">
        <f>"0611840002100"</f>
        <v>0611840002100</v>
      </c>
      <c r="B13237" t="str">
        <f>"LQ6034"</f>
        <v>LQ6034</v>
      </c>
      <c r="C13237" t="s">
        <v>13000</v>
      </c>
    </row>
    <row r="13238" spans="1:3" x14ac:dyDescent="0.25">
      <c r="A13238" t="str">
        <f>"0611857166100"</f>
        <v>0611857166100</v>
      </c>
      <c r="B13238" t="str">
        <f>"LK7064"</f>
        <v>LK7064</v>
      </c>
      <c r="C13238" t="s">
        <v>13001</v>
      </c>
    </row>
    <row r="13239" spans="1:3" x14ac:dyDescent="0.25">
      <c r="A13239" t="str">
        <f>"0611840016100"</f>
        <v>0611840016100</v>
      </c>
      <c r="B13239" t="str">
        <f>"LQ3811"</f>
        <v>LQ3811</v>
      </c>
      <c r="C13239" t="s">
        <v>13002</v>
      </c>
    </row>
    <row r="13240" spans="1:3" x14ac:dyDescent="0.25">
      <c r="A13240" t="str">
        <f>"0611884493100"</f>
        <v>0611884493100</v>
      </c>
      <c r="B13240" t="str">
        <f>"LQ3932"</f>
        <v>LQ3932</v>
      </c>
      <c r="C13240" t="s">
        <v>13003</v>
      </c>
    </row>
    <row r="13241" spans="1:3" x14ac:dyDescent="0.25">
      <c r="A13241" t="str">
        <f>"0611864249050"</f>
        <v>0611864249050</v>
      </c>
      <c r="B13241" t="str">
        <f>"CR4063"</f>
        <v>CR4063</v>
      </c>
      <c r="C13241" t="s">
        <v>13004</v>
      </c>
    </row>
    <row r="13242" spans="1:3" x14ac:dyDescent="0.25">
      <c r="A13242" t="str">
        <f>"0611864250050"</f>
        <v>0611864250050</v>
      </c>
      <c r="B13242" t="str">
        <f>"CR4064"</f>
        <v>CR4064</v>
      </c>
      <c r="C13242" t="s">
        <v>13005</v>
      </c>
    </row>
    <row r="13243" spans="1:3" x14ac:dyDescent="0.25">
      <c r="A13243" t="str">
        <f>"0611864251050"</f>
        <v>0611864251050</v>
      </c>
      <c r="B13243" t="str">
        <f>"CR3578"</f>
        <v>CR3578</v>
      </c>
      <c r="C13243" t="s">
        <v>13006</v>
      </c>
    </row>
    <row r="13244" spans="1:3" x14ac:dyDescent="0.25">
      <c r="A13244" t="str">
        <f>"0611840021100"</f>
        <v>0611840021100</v>
      </c>
      <c r="B13244" t="str">
        <f>"LQ0774"</f>
        <v>LQ0774</v>
      </c>
      <c r="C13244" t="s">
        <v>13007</v>
      </c>
    </row>
    <row r="13245" spans="1:3" x14ac:dyDescent="0.25">
      <c r="A13245" t="str">
        <f>"0611840022100"</f>
        <v>0611840022100</v>
      </c>
      <c r="B13245" t="str">
        <f>"LB9265"</f>
        <v>LB9265</v>
      </c>
      <c r="C13245" t="s">
        <v>13008</v>
      </c>
    </row>
    <row r="13246" spans="1:3" x14ac:dyDescent="0.25">
      <c r="A13246" t="str">
        <f>"0611864252050"</f>
        <v>0611864252050</v>
      </c>
      <c r="B13246" t="str">
        <f>"CR3025"</f>
        <v>CR3025</v>
      </c>
      <c r="C13246" t="s">
        <v>13009</v>
      </c>
    </row>
    <row r="13247" spans="1:3" x14ac:dyDescent="0.25">
      <c r="A13247" t="str">
        <f>"0611864253050"</f>
        <v>0611864253050</v>
      </c>
      <c r="B13247" t="str">
        <f>"CR2580"</f>
        <v>CR2580</v>
      </c>
      <c r="C13247" t="s">
        <v>13010</v>
      </c>
    </row>
    <row r="13248" spans="1:3" x14ac:dyDescent="0.25">
      <c r="A13248" t="str">
        <f>"0611864254050"</f>
        <v>0611864254050</v>
      </c>
      <c r="B13248" t="str">
        <f>"CR2581"</f>
        <v>CR2581</v>
      </c>
      <c r="C13248" t="s">
        <v>13011</v>
      </c>
    </row>
    <row r="13249" spans="1:3" x14ac:dyDescent="0.25">
      <c r="A13249" t="str">
        <f>"0611864255050"</f>
        <v>0611864255050</v>
      </c>
      <c r="B13249" t="str">
        <f>"CR2582"</f>
        <v>CR2582</v>
      </c>
      <c r="C13249" t="s">
        <v>13012</v>
      </c>
    </row>
    <row r="13250" spans="1:3" x14ac:dyDescent="0.25">
      <c r="A13250" t="str">
        <f>"0611864256050"</f>
        <v>0611864256050</v>
      </c>
      <c r="B13250" t="str">
        <f>"CR2583"</f>
        <v>CR2583</v>
      </c>
      <c r="C13250" t="s">
        <v>13013</v>
      </c>
    </row>
    <row r="13251" spans="1:3" x14ac:dyDescent="0.25">
      <c r="A13251" t="str">
        <f>"0611884494050"</f>
        <v>0611884494050</v>
      </c>
      <c r="B13251" t="str">
        <f>"CR5408"</f>
        <v>CR5408</v>
      </c>
      <c r="C13251" t="s">
        <v>13014</v>
      </c>
    </row>
    <row r="13252" spans="1:3" x14ac:dyDescent="0.25">
      <c r="A13252" t="str">
        <f>"0611864257050"</f>
        <v>0611864257050</v>
      </c>
      <c r="B13252" t="str">
        <f>"CR2765"</f>
        <v>CR2765</v>
      </c>
      <c r="C13252" t="s">
        <v>13015</v>
      </c>
    </row>
    <row r="13253" spans="1:3" x14ac:dyDescent="0.25">
      <c r="A13253" t="str">
        <f>"0611864258050"</f>
        <v>0611864258050</v>
      </c>
      <c r="B13253" t="str">
        <f>"CR2766"</f>
        <v>CR2766</v>
      </c>
      <c r="C13253" t="s">
        <v>13016</v>
      </c>
    </row>
    <row r="13254" spans="1:3" x14ac:dyDescent="0.25">
      <c r="A13254" t="str">
        <f>"0611864259050"</f>
        <v>0611864259050</v>
      </c>
      <c r="B13254" t="str">
        <f>"CR2769"</f>
        <v>CR2769</v>
      </c>
      <c r="C13254" t="s">
        <v>13017</v>
      </c>
    </row>
    <row r="13255" spans="1:3" x14ac:dyDescent="0.25">
      <c r="A13255" t="str">
        <f>"0611864260050"</f>
        <v>0611864260050</v>
      </c>
      <c r="B13255" t="str">
        <f>"CR2584"</f>
        <v>CR2584</v>
      </c>
      <c r="C13255" t="s">
        <v>13018</v>
      </c>
    </row>
    <row r="13256" spans="1:3" x14ac:dyDescent="0.25">
      <c r="A13256" t="str">
        <f>"0611864261100"</f>
        <v>0611864261100</v>
      </c>
      <c r="B13256" t="str">
        <f>"CN2393"</f>
        <v>CN2393</v>
      </c>
      <c r="C13256" t="s">
        <v>13019</v>
      </c>
    </row>
    <row r="13257" spans="1:3" x14ac:dyDescent="0.25">
      <c r="A13257" t="str">
        <f>"0611840024100"</f>
        <v>0611840024100</v>
      </c>
      <c r="B13257" t="str">
        <f>"LH8604"</f>
        <v>LH8604</v>
      </c>
      <c r="C13257" t="s">
        <v>13020</v>
      </c>
    </row>
    <row r="13258" spans="1:3" x14ac:dyDescent="0.25">
      <c r="A13258" t="str">
        <f>"0611840026100"</f>
        <v>0611840026100</v>
      </c>
      <c r="B13258" t="str">
        <f>"LH8930"</f>
        <v>LH8930</v>
      </c>
      <c r="C13258" t="s">
        <v>13021</v>
      </c>
    </row>
    <row r="13259" spans="1:3" x14ac:dyDescent="0.25">
      <c r="A13259" t="str">
        <f>"0611840027025"</f>
        <v>0611840027025</v>
      </c>
      <c r="B13259" t="str">
        <f>"MC0928"</f>
        <v>MC0928</v>
      </c>
      <c r="C13259" t="s">
        <v>13022</v>
      </c>
    </row>
    <row r="13260" spans="1:3" x14ac:dyDescent="0.25">
      <c r="A13260" t="str">
        <f>"0611864262100"</f>
        <v>0611864262100</v>
      </c>
      <c r="B13260" t="str">
        <f>"CN2394"</f>
        <v>CN2394</v>
      </c>
      <c r="C13260" t="s">
        <v>13023</v>
      </c>
    </row>
    <row r="13261" spans="1:3" x14ac:dyDescent="0.25">
      <c r="A13261" t="str">
        <f>"0611893670100"</f>
        <v>0611893670100</v>
      </c>
      <c r="B13261" t="str">
        <f>"CN2479"</f>
        <v>CN2479</v>
      </c>
      <c r="C13261" t="s">
        <v>13024</v>
      </c>
    </row>
    <row r="13262" spans="1:3" x14ac:dyDescent="0.25">
      <c r="A13262" t="str">
        <f>"0611893671100"</f>
        <v>0611893671100</v>
      </c>
      <c r="B13262" t="str">
        <f>"CN2480"</f>
        <v>CN2480</v>
      </c>
      <c r="C13262" t="s">
        <v>13025</v>
      </c>
    </row>
    <row r="13263" spans="1:3" x14ac:dyDescent="0.25">
      <c r="A13263" t="str">
        <f>"0611893672100"</f>
        <v>0611893672100</v>
      </c>
      <c r="B13263" t="str">
        <f>"CN5462"</f>
        <v>CN5462</v>
      </c>
      <c r="C13263" t="s">
        <v>13026</v>
      </c>
    </row>
    <row r="13264" spans="1:3" x14ac:dyDescent="0.25">
      <c r="A13264" t="str">
        <f>"0611893673100"</f>
        <v>0611893673100</v>
      </c>
      <c r="B13264" t="str">
        <f>"CN2481"</f>
        <v>CN2481</v>
      </c>
      <c r="C13264" t="s">
        <v>13027</v>
      </c>
    </row>
    <row r="13265" spans="1:3" x14ac:dyDescent="0.25">
      <c r="A13265" t="str">
        <f>"0611840029100"</f>
        <v>0611840029100</v>
      </c>
      <c r="B13265" t="str">
        <f>"LH8857"</f>
        <v>LH8857</v>
      </c>
      <c r="C13265" t="s">
        <v>13028</v>
      </c>
    </row>
    <row r="13266" spans="1:3" x14ac:dyDescent="0.25">
      <c r="A13266" t="str">
        <f>"0611906993025"</f>
        <v>0611906993025</v>
      </c>
      <c r="B13266" t="str">
        <f>"MQ7618"</f>
        <v>MQ7618</v>
      </c>
      <c r="C13266" t="s">
        <v>13029</v>
      </c>
    </row>
    <row r="13267" spans="1:3" x14ac:dyDescent="0.25">
      <c r="A13267" t="str">
        <f>"0611857167025"</f>
        <v>0611857167025</v>
      </c>
      <c r="B13267" t="str">
        <f>"MC4418"</f>
        <v>MC4418</v>
      </c>
      <c r="C13267" t="s">
        <v>13030</v>
      </c>
    </row>
    <row r="13268" spans="1:3" x14ac:dyDescent="0.25">
      <c r="A13268" t="str">
        <f>"0611840031025"</f>
        <v>0611840031025</v>
      </c>
      <c r="B13268" t="str">
        <f>"MQ0382"</f>
        <v>MQ0382</v>
      </c>
      <c r="C13268" t="s">
        <v>13031</v>
      </c>
    </row>
    <row r="13269" spans="1:3" x14ac:dyDescent="0.25">
      <c r="A13269" t="str">
        <f>"0611857168025"</f>
        <v>0611857168025</v>
      </c>
      <c r="B13269" t="str">
        <f>"MC4419"</f>
        <v>MC4419</v>
      </c>
      <c r="C13269" t="s">
        <v>13032</v>
      </c>
    </row>
    <row r="13270" spans="1:3" x14ac:dyDescent="0.25">
      <c r="A13270" t="str">
        <f>"0611840032025"</f>
        <v>0611840032025</v>
      </c>
      <c r="B13270" t="str">
        <f>"MQ0383"</f>
        <v>MQ0383</v>
      </c>
      <c r="C13270" t="s">
        <v>13033</v>
      </c>
    </row>
    <row r="13271" spans="1:3" x14ac:dyDescent="0.25">
      <c r="A13271" t="str">
        <f>"0611840033025"</f>
        <v>0611840033025</v>
      </c>
      <c r="B13271" t="str">
        <f>"MQ0384"</f>
        <v>MQ0384</v>
      </c>
      <c r="C13271" t="s">
        <v>13034</v>
      </c>
    </row>
    <row r="13272" spans="1:3" x14ac:dyDescent="0.25">
      <c r="A13272" t="str">
        <f>"0611857169025"</f>
        <v>0611857169025</v>
      </c>
      <c r="B13272" t="str">
        <f>"MC4420"</f>
        <v>MC4420</v>
      </c>
      <c r="C13272" t="s">
        <v>13035</v>
      </c>
    </row>
    <row r="13273" spans="1:3" x14ac:dyDescent="0.25">
      <c r="A13273" t="str">
        <f>"0611840034025"</f>
        <v>0611840034025</v>
      </c>
      <c r="B13273" t="str">
        <f>"MQ0457"</f>
        <v>MQ0457</v>
      </c>
      <c r="C13273" t="s">
        <v>13036</v>
      </c>
    </row>
    <row r="13274" spans="1:3" x14ac:dyDescent="0.25">
      <c r="A13274" t="str">
        <f>"0611840066025"</f>
        <v>0611840066025</v>
      </c>
      <c r="B13274" t="str">
        <f>"MC1594"</f>
        <v>MC1594</v>
      </c>
      <c r="C13274" t="s">
        <v>13042</v>
      </c>
    </row>
    <row r="13275" spans="1:3" x14ac:dyDescent="0.25">
      <c r="A13275" t="str">
        <f>"0611840035100"</f>
        <v>0611840035100</v>
      </c>
      <c r="B13275" t="str">
        <f>"LH8877"</f>
        <v>LH8877</v>
      </c>
      <c r="C13275" t="s">
        <v>13037</v>
      </c>
    </row>
    <row r="13276" spans="1:3" x14ac:dyDescent="0.25">
      <c r="A13276" t="str">
        <f>"0611840036025"</f>
        <v>0611840036025</v>
      </c>
      <c r="B13276" t="str">
        <f>"MC1487"</f>
        <v>MC1487</v>
      </c>
      <c r="C13276" t="s">
        <v>13038</v>
      </c>
    </row>
    <row r="13277" spans="1:3" x14ac:dyDescent="0.25">
      <c r="A13277" t="str">
        <f>"0611864279050"</f>
        <v>0611864279050</v>
      </c>
      <c r="B13277" t="str">
        <f>"CR4503"</f>
        <v>CR4503</v>
      </c>
      <c r="C13277" t="s">
        <v>13039</v>
      </c>
    </row>
    <row r="13278" spans="1:3" x14ac:dyDescent="0.25">
      <c r="A13278" t="str">
        <f>"0611864280100"</f>
        <v>0611864280100</v>
      </c>
      <c r="B13278" t="str">
        <f>"CN5418"</f>
        <v>CN5418</v>
      </c>
      <c r="C13278" t="s">
        <v>13040</v>
      </c>
    </row>
    <row r="13279" spans="1:3" x14ac:dyDescent="0.25">
      <c r="A13279" t="str">
        <f>"0611840037025"</f>
        <v>0611840037025</v>
      </c>
      <c r="B13279" t="str">
        <f>"MC0732"</f>
        <v>MC0732</v>
      </c>
      <c r="C13279" t="s">
        <v>13041</v>
      </c>
    </row>
    <row r="13280" spans="1:3" x14ac:dyDescent="0.25">
      <c r="A13280" t="str">
        <f>"0611840039025"</f>
        <v>0611840039025</v>
      </c>
      <c r="B13280" t="str">
        <f>"MQ3202"</f>
        <v>MQ3202</v>
      </c>
      <c r="C13280" t="s">
        <v>13043</v>
      </c>
    </row>
    <row r="13281" spans="1:3" x14ac:dyDescent="0.25">
      <c r="A13281" t="str">
        <f>"0611840040025"</f>
        <v>0611840040025</v>
      </c>
      <c r="B13281" t="str">
        <f>"MQ3038"</f>
        <v>MQ3038</v>
      </c>
      <c r="C13281" t="s">
        <v>13044</v>
      </c>
    </row>
    <row r="13282" spans="1:3" x14ac:dyDescent="0.25">
      <c r="A13282" t="str">
        <f>"0611864282050"</f>
        <v>0611864282050</v>
      </c>
      <c r="B13282" t="str">
        <f>"CR4505"</f>
        <v>CR4505</v>
      </c>
      <c r="C13282" t="s">
        <v>13045</v>
      </c>
    </row>
    <row r="13283" spans="1:3" x14ac:dyDescent="0.25">
      <c r="A13283" t="str">
        <f>"0611840041025"</f>
        <v>0611840041025</v>
      </c>
      <c r="B13283" t="str">
        <f>"MQ0557"</f>
        <v>MQ0557</v>
      </c>
      <c r="C13283" t="s">
        <v>13046</v>
      </c>
    </row>
    <row r="13284" spans="1:3" x14ac:dyDescent="0.25">
      <c r="A13284" t="str">
        <f>"0611840042025"</f>
        <v>0611840042025</v>
      </c>
      <c r="B13284" t="str">
        <f>"MQ3040"</f>
        <v>MQ3040</v>
      </c>
      <c r="C13284" t="s">
        <v>13047</v>
      </c>
    </row>
    <row r="13285" spans="1:3" x14ac:dyDescent="0.25">
      <c r="A13285" t="str">
        <f>"0611840043025"</f>
        <v>0611840043025</v>
      </c>
      <c r="B13285" t="str">
        <f>"MQ3090"</f>
        <v>MQ3090</v>
      </c>
      <c r="C13285" t="s">
        <v>13048</v>
      </c>
    </row>
    <row r="13286" spans="1:3" x14ac:dyDescent="0.25">
      <c r="A13286" t="str">
        <f>"0611840044025"</f>
        <v>0611840044025</v>
      </c>
      <c r="B13286" t="str">
        <f>"MQ3203"</f>
        <v>MQ3203</v>
      </c>
      <c r="C13286" t="s">
        <v>13049</v>
      </c>
    </row>
    <row r="13287" spans="1:3" x14ac:dyDescent="0.25">
      <c r="A13287" t="str">
        <f>"0611840045025"</f>
        <v>0611840045025</v>
      </c>
      <c r="B13287" t="str">
        <f>"MQ0745"</f>
        <v>MQ0745</v>
      </c>
      <c r="C13287" t="s">
        <v>13050</v>
      </c>
    </row>
    <row r="13288" spans="1:3" x14ac:dyDescent="0.25">
      <c r="A13288" t="str">
        <f>"0611840046025"</f>
        <v>0611840046025</v>
      </c>
      <c r="B13288" t="str">
        <f>"MQ0132"</f>
        <v>MQ0132</v>
      </c>
      <c r="C13288" t="s">
        <v>13051</v>
      </c>
    </row>
    <row r="13289" spans="1:3" x14ac:dyDescent="0.25">
      <c r="A13289" t="str">
        <f>"0611840047100"</f>
        <v>0611840047100</v>
      </c>
      <c r="B13289" t="str">
        <f>"LH8636"</f>
        <v>LH8636</v>
      </c>
      <c r="C13289" t="s">
        <v>13052</v>
      </c>
    </row>
    <row r="13290" spans="1:3" x14ac:dyDescent="0.25">
      <c r="A13290" t="str">
        <f>"0611840048025"</f>
        <v>0611840048025</v>
      </c>
      <c r="B13290" t="str">
        <f>"MC0736"</f>
        <v>MC0736</v>
      </c>
      <c r="C13290" t="s">
        <v>13053</v>
      </c>
    </row>
    <row r="13291" spans="1:3" x14ac:dyDescent="0.25">
      <c r="A13291" t="str">
        <f>"0611840049025"</f>
        <v>0611840049025</v>
      </c>
      <c r="B13291" t="str">
        <f>"MC1408"</f>
        <v>MC1408</v>
      </c>
      <c r="C13291" t="s">
        <v>13054</v>
      </c>
    </row>
    <row r="13292" spans="1:3" x14ac:dyDescent="0.25">
      <c r="A13292" t="str">
        <f>"0611840050025"</f>
        <v>0611840050025</v>
      </c>
      <c r="B13292" t="str">
        <f>"MQ5119"</f>
        <v>MQ5119</v>
      </c>
      <c r="C13292" t="s">
        <v>13055</v>
      </c>
    </row>
    <row r="13293" spans="1:3" x14ac:dyDescent="0.25">
      <c r="A13293" t="str">
        <f>"0611840051025"</f>
        <v>0611840051025</v>
      </c>
      <c r="B13293" t="str">
        <f>"MQ5154"</f>
        <v>MQ5154</v>
      </c>
      <c r="C13293" t="s">
        <v>13056</v>
      </c>
    </row>
    <row r="13294" spans="1:3" x14ac:dyDescent="0.25">
      <c r="A13294" t="str">
        <f>"0611840052025"</f>
        <v>0611840052025</v>
      </c>
      <c r="B13294" t="str">
        <f>"MC0737"</f>
        <v>MC0737</v>
      </c>
      <c r="C13294" t="s">
        <v>13057</v>
      </c>
    </row>
    <row r="13295" spans="1:3" x14ac:dyDescent="0.25">
      <c r="A13295" t="str">
        <f>"0611864285100"</f>
        <v>0611864285100</v>
      </c>
      <c r="B13295" t="str">
        <f>"CN5420"</f>
        <v>CN5420</v>
      </c>
      <c r="C13295" t="s">
        <v>13058</v>
      </c>
    </row>
    <row r="13296" spans="1:3" x14ac:dyDescent="0.25">
      <c r="A13296" t="str">
        <f>"0611840053025"</f>
        <v>0611840053025</v>
      </c>
      <c r="B13296" t="str">
        <f>"MQ3007"</f>
        <v>MQ3007</v>
      </c>
      <c r="C13296" t="s">
        <v>13059</v>
      </c>
    </row>
    <row r="13297" spans="1:3" x14ac:dyDescent="0.25">
      <c r="A13297" t="str">
        <f>"0611857170025"</f>
        <v>0611857170025</v>
      </c>
      <c r="B13297" t="str">
        <f>"MQ0811"</f>
        <v>MQ0811</v>
      </c>
      <c r="C13297" t="s">
        <v>13060</v>
      </c>
    </row>
    <row r="13298" spans="1:3" x14ac:dyDescent="0.25">
      <c r="A13298" t="str">
        <f>"0611906994025"</f>
        <v>0611906994025</v>
      </c>
      <c r="B13298" t="str">
        <f>"MQ7619"</f>
        <v>MQ7619</v>
      </c>
      <c r="C13298" t="s">
        <v>13061</v>
      </c>
    </row>
    <row r="13299" spans="1:3" x14ac:dyDescent="0.25">
      <c r="A13299" t="str">
        <f>"0611857171025"</f>
        <v>0611857171025</v>
      </c>
      <c r="B13299" t="str">
        <f>"MQ0812"</f>
        <v>MQ0812</v>
      </c>
      <c r="C13299" t="s">
        <v>13062</v>
      </c>
    </row>
    <row r="13300" spans="1:3" x14ac:dyDescent="0.25">
      <c r="A13300" t="str">
        <f>"0611864286100"</f>
        <v>0611864286100</v>
      </c>
      <c r="B13300" t="str">
        <f>"CN5421"</f>
        <v>CN5421</v>
      </c>
      <c r="C13300" t="s">
        <v>13063</v>
      </c>
    </row>
    <row r="13301" spans="1:3" x14ac:dyDescent="0.25">
      <c r="A13301" t="str">
        <f>"0611840054025"</f>
        <v>0611840054025</v>
      </c>
      <c r="B13301" t="str">
        <f>"MC0739"</f>
        <v>MC0739</v>
      </c>
      <c r="C13301" t="s">
        <v>13064</v>
      </c>
    </row>
    <row r="13302" spans="1:3" x14ac:dyDescent="0.25">
      <c r="A13302" t="str">
        <f>"0611864287050"</f>
        <v>0611864287050</v>
      </c>
      <c r="B13302" t="str">
        <f>"CR4494"</f>
        <v>CR4494</v>
      </c>
      <c r="C13302" t="s">
        <v>13065</v>
      </c>
    </row>
    <row r="13303" spans="1:3" x14ac:dyDescent="0.25">
      <c r="A13303" t="str">
        <f>"0611864288050"</f>
        <v>0611864288050</v>
      </c>
      <c r="B13303" t="str">
        <f>"CR4504"</f>
        <v>CR4504</v>
      </c>
      <c r="C13303" t="s">
        <v>13066</v>
      </c>
    </row>
    <row r="13304" spans="1:3" x14ac:dyDescent="0.25">
      <c r="A13304" t="str">
        <f>"0611840058025"</f>
        <v>0611840058025</v>
      </c>
      <c r="B13304" t="str">
        <f>"MQ0385"</f>
        <v>MQ0385</v>
      </c>
      <c r="C13304" t="s">
        <v>13067</v>
      </c>
    </row>
    <row r="13305" spans="1:3" x14ac:dyDescent="0.25">
      <c r="A13305" t="str">
        <f>"0611840059025"</f>
        <v>0611840059025</v>
      </c>
      <c r="B13305" t="str">
        <f>"MQ0537"</f>
        <v>MQ0537</v>
      </c>
      <c r="C13305" t="s">
        <v>13068</v>
      </c>
    </row>
    <row r="13306" spans="1:3" x14ac:dyDescent="0.25">
      <c r="A13306" t="str">
        <f>"0611840060025"</f>
        <v>0611840060025</v>
      </c>
      <c r="B13306" t="str">
        <f>"MQ0538"</f>
        <v>MQ0538</v>
      </c>
      <c r="C13306" t="s">
        <v>13069</v>
      </c>
    </row>
    <row r="13307" spans="1:3" x14ac:dyDescent="0.25">
      <c r="A13307" t="str">
        <f>"0611840061025"</f>
        <v>0611840061025</v>
      </c>
      <c r="B13307" t="str">
        <f>"MQ0539"</f>
        <v>MQ0539</v>
      </c>
      <c r="C13307" t="s">
        <v>13070</v>
      </c>
    </row>
    <row r="13308" spans="1:3" x14ac:dyDescent="0.25">
      <c r="A13308" t="str">
        <f>"0611840062025"</f>
        <v>0611840062025</v>
      </c>
      <c r="B13308" t="str">
        <f>"MQ6095"</f>
        <v>MQ6095</v>
      </c>
      <c r="C13308" t="s">
        <v>13071</v>
      </c>
    </row>
    <row r="13309" spans="1:3" x14ac:dyDescent="0.25">
      <c r="A13309" t="str">
        <f>"0611840063025"</f>
        <v>0611840063025</v>
      </c>
      <c r="B13309" t="str">
        <f>"MQ0540"</f>
        <v>MQ0540</v>
      </c>
      <c r="C13309" t="s">
        <v>13072</v>
      </c>
    </row>
    <row r="13310" spans="1:3" x14ac:dyDescent="0.25">
      <c r="A13310" t="str">
        <f>"0611840064025"</f>
        <v>0611840064025</v>
      </c>
      <c r="B13310" t="str">
        <f>"MQ0541"</f>
        <v>MQ0541</v>
      </c>
      <c r="C13310" t="s">
        <v>13073</v>
      </c>
    </row>
    <row r="13311" spans="1:3" x14ac:dyDescent="0.25">
      <c r="A13311" t="str">
        <f>"0611840065025"</f>
        <v>0611840065025</v>
      </c>
      <c r="B13311" t="str">
        <f>"MQ0542"</f>
        <v>MQ0542</v>
      </c>
      <c r="C13311" t="s">
        <v>13074</v>
      </c>
    </row>
    <row r="13312" spans="1:3" x14ac:dyDescent="0.25">
      <c r="A13312" t="str">
        <f>"0611840067025"</f>
        <v>0611840067025</v>
      </c>
      <c r="B13312" t="str">
        <f>"MC3900"</f>
        <v>MC3900</v>
      </c>
      <c r="C13312" t="s">
        <v>13075</v>
      </c>
    </row>
    <row r="13313" spans="1:3" x14ac:dyDescent="0.25">
      <c r="A13313" t="str">
        <f>"0611840068025"</f>
        <v>0611840068025</v>
      </c>
      <c r="B13313" t="str">
        <f>"MQ0386"</f>
        <v>MQ0386</v>
      </c>
      <c r="C13313" t="s">
        <v>13076</v>
      </c>
    </row>
    <row r="13314" spans="1:3" x14ac:dyDescent="0.25">
      <c r="A13314" t="str">
        <f>"0611832788100"</f>
        <v>0611832788100</v>
      </c>
      <c r="B13314" t="str">
        <f>"LS0122"</f>
        <v>LS0122</v>
      </c>
      <c r="C13314" t="s">
        <v>13143</v>
      </c>
    </row>
    <row r="13315" spans="1:3" x14ac:dyDescent="0.25">
      <c r="A13315" t="str">
        <f>"0611832591100"</f>
        <v>0611832591100</v>
      </c>
      <c r="B13315" t="str">
        <f>"LK6463"</f>
        <v>LK6463</v>
      </c>
      <c r="C13315" t="s">
        <v>13079</v>
      </c>
    </row>
    <row r="13316" spans="1:3" x14ac:dyDescent="0.25">
      <c r="A13316" t="str">
        <f>"0611857172100"</f>
        <v>0611857172100</v>
      </c>
      <c r="B13316" t="str">
        <f>"LK7106"</f>
        <v>LK7106</v>
      </c>
      <c r="C13316" t="s">
        <v>13080</v>
      </c>
    </row>
    <row r="13317" spans="1:3" x14ac:dyDescent="0.25">
      <c r="A13317" t="str">
        <f>"0611832592100"</f>
        <v>0611832592100</v>
      </c>
      <c r="B13317" t="str">
        <f>"LK6464"</f>
        <v>LK6464</v>
      </c>
      <c r="C13317" t="s">
        <v>13081</v>
      </c>
    </row>
    <row r="13318" spans="1:3" x14ac:dyDescent="0.25">
      <c r="A13318" t="str">
        <f>"0611832593100"</f>
        <v>0611832593100</v>
      </c>
      <c r="B13318" t="str">
        <f>"LK6465"</f>
        <v>LK6465</v>
      </c>
      <c r="C13318" t="s">
        <v>13082</v>
      </c>
    </row>
    <row r="13319" spans="1:3" x14ac:dyDescent="0.25">
      <c r="A13319" t="str">
        <f>"0611832594100"</f>
        <v>0611832594100</v>
      </c>
      <c r="B13319" t="str">
        <f>"LK6466"</f>
        <v>LK6466</v>
      </c>
      <c r="C13319" t="s">
        <v>13083</v>
      </c>
    </row>
    <row r="13320" spans="1:3" x14ac:dyDescent="0.25">
      <c r="A13320" t="str">
        <f>"0611832590100"</f>
        <v>0611832590100</v>
      </c>
      <c r="B13320" t="str">
        <f>"LK6467"</f>
        <v>LK6467</v>
      </c>
      <c r="C13320" t="s">
        <v>13084</v>
      </c>
    </row>
    <row r="13321" spans="1:3" x14ac:dyDescent="0.25">
      <c r="A13321" t="str">
        <f>"0611832595100"</f>
        <v>0611832595100</v>
      </c>
      <c r="B13321" t="str">
        <f>"LK6468"</f>
        <v>LK6468</v>
      </c>
      <c r="C13321" t="s">
        <v>13085</v>
      </c>
    </row>
    <row r="13322" spans="1:3" x14ac:dyDescent="0.25">
      <c r="A13322" t="str">
        <f>"0611832596100"</f>
        <v>0611832596100</v>
      </c>
      <c r="B13322" t="str">
        <f>"LK6469"</f>
        <v>LK6469</v>
      </c>
      <c r="C13322" t="s">
        <v>13086</v>
      </c>
    </row>
    <row r="13323" spans="1:3" x14ac:dyDescent="0.25">
      <c r="A13323" t="str">
        <f>"0611832597100"</f>
        <v>0611832597100</v>
      </c>
      <c r="B13323" t="str">
        <f>"LK6470"</f>
        <v>LK6470</v>
      </c>
      <c r="C13323" t="s">
        <v>13087</v>
      </c>
    </row>
    <row r="13324" spans="1:3" x14ac:dyDescent="0.25">
      <c r="A13324" t="str">
        <f>"0611832598100"</f>
        <v>0611832598100</v>
      </c>
      <c r="B13324" t="str">
        <f>"LK6471"</f>
        <v>LK6471</v>
      </c>
      <c r="C13324" t="s">
        <v>13088</v>
      </c>
    </row>
    <row r="13325" spans="1:3" x14ac:dyDescent="0.25">
      <c r="A13325" t="str">
        <f>"0611832599100"</f>
        <v>0611832599100</v>
      </c>
      <c r="B13325" t="str">
        <f>"LK6472"</f>
        <v>LK6472</v>
      </c>
      <c r="C13325" t="s">
        <v>13089</v>
      </c>
    </row>
    <row r="13326" spans="1:3" x14ac:dyDescent="0.25">
      <c r="A13326" t="str">
        <f>"0611832600100"</f>
        <v>0611832600100</v>
      </c>
      <c r="B13326" t="str">
        <f>"LK6473"</f>
        <v>LK6473</v>
      </c>
      <c r="C13326" t="s">
        <v>13090</v>
      </c>
    </row>
    <row r="13327" spans="1:3" x14ac:dyDescent="0.25">
      <c r="A13327" t="str">
        <f>"0611832615100"</f>
        <v>0611832615100</v>
      </c>
      <c r="B13327" t="str">
        <f>"LB9290"</f>
        <v>LB9290</v>
      </c>
      <c r="C13327" t="s">
        <v>13095</v>
      </c>
    </row>
    <row r="13328" spans="1:3" x14ac:dyDescent="0.25">
      <c r="A13328" t="str">
        <f>"0611832617100"</f>
        <v>0611832617100</v>
      </c>
      <c r="B13328" t="str">
        <f>"LB9294"</f>
        <v>LB9294</v>
      </c>
      <c r="C13328" t="s">
        <v>13096</v>
      </c>
    </row>
    <row r="13329" spans="1:3" x14ac:dyDescent="0.25">
      <c r="A13329" t="str">
        <f>"0611832618100"</f>
        <v>0611832618100</v>
      </c>
      <c r="B13329" t="str">
        <f>"LB9291"</f>
        <v>LB9291</v>
      </c>
      <c r="C13329" t="s">
        <v>13097</v>
      </c>
    </row>
    <row r="13330" spans="1:3" x14ac:dyDescent="0.25">
      <c r="A13330" t="str">
        <f>"0611832621100"</f>
        <v>0611832621100</v>
      </c>
      <c r="B13330" t="str">
        <f>"LB9345"</f>
        <v>LB9345</v>
      </c>
      <c r="C13330" t="s">
        <v>13098</v>
      </c>
    </row>
    <row r="13331" spans="1:3" x14ac:dyDescent="0.25">
      <c r="A13331" t="str">
        <f>"0611832624100"</f>
        <v>0611832624100</v>
      </c>
      <c r="B13331" t="str">
        <f>"LK3242"</f>
        <v>LK3242</v>
      </c>
      <c r="C13331" t="s">
        <v>13099</v>
      </c>
    </row>
    <row r="13332" spans="1:3" x14ac:dyDescent="0.25">
      <c r="A13332" t="str">
        <f>"0611832625100"</f>
        <v>0611832625100</v>
      </c>
      <c r="B13332" t="str">
        <f>"LK3243"</f>
        <v>LK3243</v>
      </c>
      <c r="C13332" t="s">
        <v>13100</v>
      </c>
    </row>
    <row r="13333" spans="1:3" x14ac:dyDescent="0.25">
      <c r="A13333" t="str">
        <f>"0611832627100"</f>
        <v>0611832627100</v>
      </c>
      <c r="B13333" t="str">
        <f>"LK5529"</f>
        <v>LK5529</v>
      </c>
      <c r="C13333" t="s">
        <v>13101</v>
      </c>
    </row>
    <row r="13334" spans="1:3" x14ac:dyDescent="0.25">
      <c r="A13334" t="str">
        <f>"0611832628100"</f>
        <v>0611832628100</v>
      </c>
      <c r="B13334" t="str">
        <f>"LK6883"</f>
        <v>LK6883</v>
      </c>
      <c r="C13334" t="s">
        <v>13102</v>
      </c>
    </row>
    <row r="13335" spans="1:3" x14ac:dyDescent="0.25">
      <c r="A13335" t="str">
        <f>"0611832629100"</f>
        <v>0611832629100</v>
      </c>
      <c r="B13335" t="str">
        <f>"LK4375"</f>
        <v>LK4375</v>
      </c>
      <c r="C13335" t="s">
        <v>13103</v>
      </c>
    </row>
    <row r="13336" spans="1:3" x14ac:dyDescent="0.25">
      <c r="A13336" t="str">
        <f>"0611832630100"</f>
        <v>0611832630100</v>
      </c>
      <c r="B13336" t="str">
        <f>"LK6474"</f>
        <v>LK6474</v>
      </c>
      <c r="C13336" t="s">
        <v>13104</v>
      </c>
    </row>
    <row r="13337" spans="1:3" x14ac:dyDescent="0.25">
      <c r="A13337" t="str">
        <f>"0611832631100"</f>
        <v>0611832631100</v>
      </c>
      <c r="B13337" t="str">
        <f>"LK4376"</f>
        <v>LK4376</v>
      </c>
      <c r="C13337" t="s">
        <v>13105</v>
      </c>
    </row>
    <row r="13338" spans="1:3" x14ac:dyDescent="0.25">
      <c r="A13338" t="str">
        <f>"0611832632100"</f>
        <v>0611832632100</v>
      </c>
      <c r="B13338" t="str">
        <f>"LK4377"</f>
        <v>LK4377</v>
      </c>
      <c r="C13338" t="s">
        <v>13106</v>
      </c>
    </row>
    <row r="13339" spans="1:3" x14ac:dyDescent="0.25">
      <c r="A13339" t="str">
        <f>"0611832633100"</f>
        <v>0611832633100</v>
      </c>
      <c r="B13339" t="str">
        <f>"LK4378"</f>
        <v>LK4378</v>
      </c>
      <c r="C13339" t="s">
        <v>13107</v>
      </c>
    </row>
    <row r="13340" spans="1:3" x14ac:dyDescent="0.25">
      <c r="A13340" t="str">
        <f>"0611832626100"</f>
        <v>0611832626100</v>
      </c>
      <c r="B13340" t="str">
        <f>"LK4379"</f>
        <v>LK4379</v>
      </c>
      <c r="C13340" t="s">
        <v>13108</v>
      </c>
    </row>
    <row r="13341" spans="1:3" x14ac:dyDescent="0.25">
      <c r="A13341" t="str">
        <f>"0611832634100"</f>
        <v>0611832634100</v>
      </c>
      <c r="B13341" t="str">
        <f>"LK4380"</f>
        <v>LK4380</v>
      </c>
      <c r="C13341" t="s">
        <v>13109</v>
      </c>
    </row>
    <row r="13342" spans="1:3" x14ac:dyDescent="0.25">
      <c r="A13342" t="str">
        <f>"0611832635100"</f>
        <v>0611832635100</v>
      </c>
      <c r="B13342" t="str">
        <f>"LK4374"</f>
        <v>LK4374</v>
      </c>
      <c r="C13342" t="s">
        <v>13110</v>
      </c>
    </row>
    <row r="13343" spans="1:3" x14ac:dyDescent="0.25">
      <c r="A13343" t="str">
        <f>"0611832636100"</f>
        <v>0611832636100</v>
      </c>
      <c r="B13343" t="str">
        <f>"LK6475"</f>
        <v>LK6475</v>
      </c>
      <c r="C13343" t="s">
        <v>13111</v>
      </c>
    </row>
    <row r="13344" spans="1:3" x14ac:dyDescent="0.25">
      <c r="A13344" t="str">
        <f>"0611832637100"</f>
        <v>0611832637100</v>
      </c>
      <c r="B13344" t="str">
        <f>"LK5148"</f>
        <v>LK5148</v>
      </c>
      <c r="C13344" t="s">
        <v>13112</v>
      </c>
    </row>
    <row r="13345" spans="1:3" x14ac:dyDescent="0.25">
      <c r="A13345" t="str">
        <f>"0611832638100"</f>
        <v>0611832638100</v>
      </c>
      <c r="B13345" t="str">
        <f>"LK6306"</f>
        <v>LK6306</v>
      </c>
      <c r="C13345" t="s">
        <v>13113</v>
      </c>
    </row>
    <row r="13346" spans="1:3" x14ac:dyDescent="0.25">
      <c r="A13346" t="str">
        <f>"0611832639100"</f>
        <v>0611832639100</v>
      </c>
      <c r="B13346" t="str">
        <f>"LK6476"</f>
        <v>LK6476</v>
      </c>
      <c r="C13346" t="s">
        <v>13114</v>
      </c>
    </row>
    <row r="13347" spans="1:3" x14ac:dyDescent="0.25">
      <c r="A13347" t="str">
        <f>"0611857173100"</f>
        <v>0611857173100</v>
      </c>
      <c r="B13347" t="str">
        <f>"LK7107"</f>
        <v>LK7107</v>
      </c>
      <c r="C13347" t="s">
        <v>13115</v>
      </c>
    </row>
    <row r="13348" spans="1:3" x14ac:dyDescent="0.25">
      <c r="A13348" t="str">
        <f>"0611832640100"</f>
        <v>0611832640100</v>
      </c>
      <c r="B13348" t="str">
        <f>"LK3244"</f>
        <v>LK3244</v>
      </c>
      <c r="C13348" t="s">
        <v>13116</v>
      </c>
    </row>
    <row r="13349" spans="1:3" x14ac:dyDescent="0.25">
      <c r="A13349" t="str">
        <f>"0611832641100"</f>
        <v>0611832641100</v>
      </c>
      <c r="B13349" t="str">
        <f>"LK3245"</f>
        <v>LK3245</v>
      </c>
      <c r="C13349" t="s">
        <v>13117</v>
      </c>
    </row>
    <row r="13350" spans="1:3" x14ac:dyDescent="0.25">
      <c r="A13350" t="str">
        <f>"0611832642100"</f>
        <v>0611832642100</v>
      </c>
      <c r="B13350" t="str">
        <f>"LK3529"</f>
        <v>LK3529</v>
      </c>
      <c r="C13350" t="s">
        <v>13118</v>
      </c>
    </row>
    <row r="13351" spans="1:3" x14ac:dyDescent="0.25">
      <c r="A13351" t="str">
        <f>"0611832643100"</f>
        <v>0611832643100</v>
      </c>
      <c r="B13351" t="str">
        <f>"LK4065"</f>
        <v>LK4065</v>
      </c>
      <c r="C13351" t="s">
        <v>13119</v>
      </c>
    </row>
    <row r="13352" spans="1:3" x14ac:dyDescent="0.25">
      <c r="A13352" t="str">
        <f>"0611832644100"</f>
        <v>0611832644100</v>
      </c>
      <c r="B13352" t="str">
        <f>"LK4066"</f>
        <v>LK4066</v>
      </c>
      <c r="C13352" t="s">
        <v>13120</v>
      </c>
    </row>
    <row r="13353" spans="1:3" x14ac:dyDescent="0.25">
      <c r="A13353" t="str">
        <f>"0611832645100"</f>
        <v>0611832645100</v>
      </c>
      <c r="B13353" t="str">
        <f>"LK5149"</f>
        <v>LK5149</v>
      </c>
      <c r="C13353" t="s">
        <v>13121</v>
      </c>
    </row>
    <row r="13354" spans="1:3" x14ac:dyDescent="0.25">
      <c r="A13354" t="str">
        <f>"0611832646100"</f>
        <v>0611832646100</v>
      </c>
      <c r="B13354" t="str">
        <f>"LK3531"</f>
        <v>LK3531</v>
      </c>
      <c r="C13354" t="s">
        <v>13122</v>
      </c>
    </row>
    <row r="13355" spans="1:3" x14ac:dyDescent="0.25">
      <c r="A13355" t="str">
        <f>"0611832647100"</f>
        <v>0611832647100</v>
      </c>
      <c r="B13355" t="str">
        <f>"LK5150"</f>
        <v>LK5150</v>
      </c>
      <c r="C13355" t="s">
        <v>13123</v>
      </c>
    </row>
    <row r="13356" spans="1:3" x14ac:dyDescent="0.25">
      <c r="A13356" t="str">
        <f>"0611832648100"</f>
        <v>0611832648100</v>
      </c>
      <c r="B13356" t="str">
        <f>"LK3246"</f>
        <v>LK3246</v>
      </c>
      <c r="C13356" t="s">
        <v>13124</v>
      </c>
    </row>
    <row r="13357" spans="1:3" x14ac:dyDescent="0.25">
      <c r="A13357" t="str">
        <f>"0611832649100"</f>
        <v>0611832649100</v>
      </c>
      <c r="B13357" t="str">
        <f>"LK3247"</f>
        <v>LK3247</v>
      </c>
      <c r="C13357" t="s">
        <v>13125</v>
      </c>
    </row>
    <row r="13358" spans="1:3" x14ac:dyDescent="0.25">
      <c r="A13358" t="str">
        <f>"0611832650100"</f>
        <v>0611832650100</v>
      </c>
      <c r="B13358" t="str">
        <f>"LK6884"</f>
        <v>LK6884</v>
      </c>
      <c r="C13358" t="s">
        <v>13126</v>
      </c>
    </row>
    <row r="13359" spans="1:3" x14ac:dyDescent="0.25">
      <c r="A13359" t="str">
        <f>"0611832651100"</f>
        <v>0611832651100</v>
      </c>
      <c r="B13359" t="str">
        <f>"LK6778"</f>
        <v>LK6778</v>
      </c>
      <c r="C13359" t="s">
        <v>13127</v>
      </c>
    </row>
    <row r="13360" spans="1:3" x14ac:dyDescent="0.25">
      <c r="A13360" t="str">
        <f>"0611832652100"</f>
        <v>0611832652100</v>
      </c>
      <c r="B13360" t="str">
        <f>"LK6779"</f>
        <v>LK6779</v>
      </c>
      <c r="C13360" t="s">
        <v>13128</v>
      </c>
    </row>
    <row r="13361" spans="1:3" x14ac:dyDescent="0.25">
      <c r="A13361" t="str">
        <f>"0611832653100"</f>
        <v>0611832653100</v>
      </c>
      <c r="B13361" t="str">
        <f>"LK6780"</f>
        <v>LK6780</v>
      </c>
      <c r="C13361" t="s">
        <v>13129</v>
      </c>
    </row>
    <row r="13362" spans="1:3" x14ac:dyDescent="0.25">
      <c r="A13362" t="str">
        <f>"0611832654100"</f>
        <v>0611832654100</v>
      </c>
      <c r="B13362" t="str">
        <f>"LK6781"</f>
        <v>LK6781</v>
      </c>
      <c r="C13362" t="s">
        <v>13130</v>
      </c>
    </row>
    <row r="13363" spans="1:3" x14ac:dyDescent="0.25">
      <c r="A13363" t="str">
        <f>"0611832655100"</f>
        <v>0611832655100</v>
      </c>
      <c r="B13363" t="str">
        <f>"LK6782"</f>
        <v>LK6782</v>
      </c>
      <c r="C13363" t="s">
        <v>13131</v>
      </c>
    </row>
    <row r="13364" spans="1:3" x14ac:dyDescent="0.25">
      <c r="A13364" t="str">
        <f>"0611832656100"</f>
        <v>0611832656100</v>
      </c>
      <c r="B13364" t="str">
        <f>"LK6783"</f>
        <v>LK6783</v>
      </c>
      <c r="C13364" t="s">
        <v>13132</v>
      </c>
    </row>
    <row r="13365" spans="1:3" x14ac:dyDescent="0.25">
      <c r="A13365" t="str">
        <f>"0611832657100"</f>
        <v>0611832657100</v>
      </c>
      <c r="B13365" t="str">
        <f>"LK6835"</f>
        <v>LK6835</v>
      </c>
      <c r="C13365" t="s">
        <v>13133</v>
      </c>
    </row>
    <row r="13366" spans="1:3" x14ac:dyDescent="0.25">
      <c r="A13366" t="str">
        <f>"0611832658100"</f>
        <v>0611832658100</v>
      </c>
      <c r="B13366" t="str">
        <f>"LK6784"</f>
        <v>LK6784</v>
      </c>
      <c r="C13366" t="s">
        <v>13134</v>
      </c>
    </row>
    <row r="13367" spans="1:3" x14ac:dyDescent="0.25">
      <c r="A13367" t="str">
        <f>"0611832659100"</f>
        <v>0611832659100</v>
      </c>
      <c r="B13367" t="str">
        <f>"LK6785"</f>
        <v>LK6785</v>
      </c>
      <c r="C13367" t="s">
        <v>13135</v>
      </c>
    </row>
    <row r="13368" spans="1:3" x14ac:dyDescent="0.25">
      <c r="A13368" t="str">
        <f>"0611832660100"</f>
        <v>0611832660100</v>
      </c>
      <c r="B13368" t="str">
        <f>"LK6836"</f>
        <v>LK6836</v>
      </c>
      <c r="C13368" t="s">
        <v>13136</v>
      </c>
    </row>
    <row r="13369" spans="1:3" x14ac:dyDescent="0.25">
      <c r="A13369" t="str">
        <f>"0611884495100"</f>
        <v>0611884495100</v>
      </c>
      <c r="B13369" t="str">
        <f>"LK7183"</f>
        <v>LK7183</v>
      </c>
      <c r="C13369" t="s">
        <v>13137</v>
      </c>
    </row>
    <row r="13370" spans="1:3" x14ac:dyDescent="0.25">
      <c r="A13370" t="str">
        <f>"0611832661100"</f>
        <v>0611832661100</v>
      </c>
      <c r="B13370" t="str">
        <f>"LK6837"</f>
        <v>LK6837</v>
      </c>
      <c r="C13370" t="s">
        <v>13138</v>
      </c>
    </row>
    <row r="13371" spans="1:3" x14ac:dyDescent="0.25">
      <c r="A13371" t="str">
        <f>"0611832786100"</f>
        <v>0611832786100</v>
      </c>
      <c r="B13371" t="str">
        <f>"MB9165"</f>
        <v>MB9165</v>
      </c>
      <c r="C13371" t="s">
        <v>13141</v>
      </c>
    </row>
    <row r="13372" spans="1:3" x14ac:dyDescent="0.25">
      <c r="A13372" t="str">
        <f>"0611832787025"</f>
        <v>0611832787025</v>
      </c>
      <c r="B13372" t="str">
        <f>"MC2314"</f>
        <v>MC2314</v>
      </c>
      <c r="C13372" t="s">
        <v>13142</v>
      </c>
    </row>
    <row r="13373" spans="1:3" x14ac:dyDescent="0.25">
      <c r="A13373" t="str">
        <f>"0611832669100"</f>
        <v>0611832669100</v>
      </c>
      <c r="B13373" t="str">
        <f>"LK4945"</f>
        <v>LK4945</v>
      </c>
      <c r="C13373" t="s">
        <v>13150</v>
      </c>
    </row>
    <row r="13374" spans="1:3" x14ac:dyDescent="0.25">
      <c r="A13374" t="str">
        <f>"0611832670100"</f>
        <v>0611832670100</v>
      </c>
      <c r="B13374" t="str">
        <f>"LK4946"</f>
        <v>LK4946</v>
      </c>
      <c r="C13374" t="s">
        <v>13152</v>
      </c>
    </row>
    <row r="13375" spans="1:3" x14ac:dyDescent="0.25">
      <c r="A13375" t="str">
        <f>"0611832671100"</f>
        <v>0611832671100</v>
      </c>
      <c r="B13375" t="str">
        <f>"LK5611"</f>
        <v>LK5611</v>
      </c>
      <c r="C13375" t="s">
        <v>13151</v>
      </c>
    </row>
    <row r="13376" spans="1:3" x14ac:dyDescent="0.25">
      <c r="A13376" t="str">
        <f>"0611840075100"</f>
        <v>0611840075100</v>
      </c>
      <c r="B13376" t="str">
        <f>"LK1799"</f>
        <v>LK1799</v>
      </c>
      <c r="C13376" t="s">
        <v>13139</v>
      </c>
    </row>
    <row r="13377" spans="1:3" x14ac:dyDescent="0.25">
      <c r="A13377" t="str">
        <f>"0611840076100"</f>
        <v>0611840076100</v>
      </c>
      <c r="B13377" t="str">
        <f>"LB9339"</f>
        <v>LB9339</v>
      </c>
      <c r="C13377" t="s">
        <v>13144</v>
      </c>
    </row>
    <row r="13378" spans="1:3" x14ac:dyDescent="0.25">
      <c r="A13378" t="str">
        <f>"0611864298050"</f>
        <v>0611864298050</v>
      </c>
      <c r="B13378" t="str">
        <f>"CR3278"</f>
        <v>CR3278</v>
      </c>
      <c r="C13378" t="s">
        <v>13155</v>
      </c>
    </row>
    <row r="13379" spans="1:3" x14ac:dyDescent="0.25">
      <c r="A13379" t="str">
        <f>"0611840077100"</f>
        <v>0611840077100</v>
      </c>
      <c r="B13379" t="str">
        <f>"LK3215"</f>
        <v>LK3215</v>
      </c>
      <c r="C13379" t="s">
        <v>13145</v>
      </c>
    </row>
    <row r="13380" spans="1:3" x14ac:dyDescent="0.25">
      <c r="A13380" t="str">
        <f>"0611864295050"</f>
        <v>0611864295050</v>
      </c>
      <c r="B13380" t="str">
        <f>"CR3704"</f>
        <v>CR3704</v>
      </c>
      <c r="C13380" t="s">
        <v>13146</v>
      </c>
    </row>
    <row r="13381" spans="1:3" x14ac:dyDescent="0.25">
      <c r="A13381" t="str">
        <f>"0611840080100"</f>
        <v>0611840080100</v>
      </c>
      <c r="B13381" t="str">
        <f>"LB9311"</f>
        <v>LB9311</v>
      </c>
      <c r="C13381" t="s">
        <v>13153</v>
      </c>
    </row>
    <row r="13382" spans="1:3" x14ac:dyDescent="0.25">
      <c r="A13382" t="str">
        <f>"0611864297050"</f>
        <v>0611864297050</v>
      </c>
      <c r="B13382" t="str">
        <f>"CR2585"</f>
        <v>CR2585</v>
      </c>
      <c r="C13382" t="s">
        <v>13154</v>
      </c>
    </row>
    <row r="13383" spans="1:3" x14ac:dyDescent="0.25">
      <c r="A13383" t="str">
        <f>"0611840085025"</f>
        <v>0611840085025</v>
      </c>
      <c r="B13383" t="str">
        <f>"MC0944"</f>
        <v>MC0944</v>
      </c>
      <c r="C13383" t="s">
        <v>13288</v>
      </c>
    </row>
    <row r="13384" spans="1:3" x14ac:dyDescent="0.25">
      <c r="A13384" t="str">
        <f>"0611864302050"</f>
        <v>0611864302050</v>
      </c>
      <c r="B13384" t="str">
        <f>"CR2587"</f>
        <v>CR2587</v>
      </c>
      <c r="C13384" t="s">
        <v>13289</v>
      </c>
    </row>
    <row r="13385" spans="1:3" x14ac:dyDescent="0.25">
      <c r="A13385" t="str">
        <f>"0611840086100"</f>
        <v>0611840086100</v>
      </c>
      <c r="B13385" t="str">
        <f>"LS0123"</f>
        <v>LS0123</v>
      </c>
      <c r="C13385" t="s">
        <v>13290</v>
      </c>
    </row>
    <row r="13386" spans="1:3" x14ac:dyDescent="0.25">
      <c r="A13386" t="str">
        <f>"0611840087100"</f>
        <v>0611840087100</v>
      </c>
      <c r="B13386" t="str">
        <f>"LQ0913"</f>
        <v>LQ0913</v>
      </c>
      <c r="C13386" t="s">
        <v>13310</v>
      </c>
    </row>
    <row r="13387" spans="1:3" x14ac:dyDescent="0.25">
      <c r="A13387" t="str">
        <f>"0611864303050"</f>
        <v>0611864303050</v>
      </c>
      <c r="B13387" t="str">
        <f>"CR3027"</f>
        <v>CR3027</v>
      </c>
      <c r="C13387" t="s">
        <v>13311</v>
      </c>
    </row>
    <row r="13388" spans="1:3" x14ac:dyDescent="0.25">
      <c r="A13388" t="str">
        <f>"0611832672100"</f>
        <v>0611832672100</v>
      </c>
      <c r="B13388" t="str">
        <f>"LB9320"</f>
        <v>LB9320</v>
      </c>
      <c r="C13388" t="s">
        <v>13156</v>
      </c>
    </row>
    <row r="13389" spans="1:3" x14ac:dyDescent="0.25">
      <c r="A13389" t="str">
        <f>"0611832677100"</f>
        <v>0611832677100</v>
      </c>
      <c r="B13389" t="str">
        <f>"LK1007"</f>
        <v>LK1007</v>
      </c>
      <c r="C13389" t="s">
        <v>13159</v>
      </c>
    </row>
    <row r="13390" spans="1:3" x14ac:dyDescent="0.25">
      <c r="A13390" t="str">
        <f>"0611832675100"</f>
        <v>0611832675100</v>
      </c>
      <c r="B13390" t="str">
        <f>"LB9334"</f>
        <v>LB9334</v>
      </c>
      <c r="C13390" t="s">
        <v>13160</v>
      </c>
    </row>
    <row r="13391" spans="1:3" x14ac:dyDescent="0.25">
      <c r="A13391" t="str">
        <f>"0611832679100"</f>
        <v>0611832679100</v>
      </c>
      <c r="B13391" t="str">
        <f>"LB9316"</f>
        <v>LB9316</v>
      </c>
      <c r="C13391" t="s">
        <v>13162</v>
      </c>
    </row>
    <row r="13392" spans="1:3" x14ac:dyDescent="0.25">
      <c r="A13392" t="str">
        <f>"0611832682100"</f>
        <v>0611832682100</v>
      </c>
      <c r="B13392" t="str">
        <f>"LB9268"</f>
        <v>LB9268</v>
      </c>
      <c r="C13392" t="s">
        <v>13166</v>
      </c>
    </row>
    <row r="13393" spans="1:3" x14ac:dyDescent="0.25">
      <c r="A13393" t="str">
        <f>"0611832685100"</f>
        <v>0611832685100</v>
      </c>
      <c r="B13393" t="str">
        <f>"LK1428"</f>
        <v>LK1428</v>
      </c>
      <c r="C13393" t="s">
        <v>13170</v>
      </c>
    </row>
    <row r="13394" spans="1:3" x14ac:dyDescent="0.25">
      <c r="A13394" t="str">
        <f>"0611832673100"</f>
        <v>0611832673100</v>
      </c>
      <c r="B13394" t="str">
        <f>"LK6348"</f>
        <v>LK6348</v>
      </c>
      <c r="C13394" t="s">
        <v>13157</v>
      </c>
    </row>
    <row r="13395" spans="1:3" x14ac:dyDescent="0.25">
      <c r="A13395" t="str">
        <f>"0611832676100"</f>
        <v>0611832676100</v>
      </c>
      <c r="B13395" t="str">
        <f>"LK4069"</f>
        <v>LK4069</v>
      </c>
      <c r="C13395" t="s">
        <v>13158</v>
      </c>
    </row>
    <row r="13396" spans="1:3" x14ac:dyDescent="0.25">
      <c r="A13396" t="str">
        <f>"0611832678100"</f>
        <v>0611832678100</v>
      </c>
      <c r="B13396" t="str">
        <f>"LK4070"</f>
        <v>LK4070</v>
      </c>
      <c r="C13396" t="s">
        <v>13161</v>
      </c>
    </row>
    <row r="13397" spans="1:3" x14ac:dyDescent="0.25">
      <c r="A13397" t="str">
        <f>"0611832688100"</f>
        <v>0611832688100</v>
      </c>
      <c r="B13397" t="str">
        <f>"LK4071"</f>
        <v>LK4071</v>
      </c>
      <c r="C13397" t="s">
        <v>13163</v>
      </c>
    </row>
    <row r="13398" spans="1:3" x14ac:dyDescent="0.25">
      <c r="A13398" t="str">
        <f>"0611832680100"</f>
        <v>0611832680100</v>
      </c>
      <c r="B13398" t="str">
        <f>"LK4072"</f>
        <v>LK4072</v>
      </c>
      <c r="C13398" t="s">
        <v>13164</v>
      </c>
    </row>
    <row r="13399" spans="1:3" x14ac:dyDescent="0.25">
      <c r="A13399" t="str">
        <f>"0611832681100"</f>
        <v>0611832681100</v>
      </c>
      <c r="B13399" t="str">
        <f>"LK4073"</f>
        <v>LK4073</v>
      </c>
      <c r="C13399" t="s">
        <v>13165</v>
      </c>
    </row>
    <row r="13400" spans="1:3" x14ac:dyDescent="0.25">
      <c r="A13400" t="str">
        <f>"0611832683100"</f>
        <v>0611832683100</v>
      </c>
      <c r="B13400" t="str">
        <f>"LK4075"</f>
        <v>LK4075</v>
      </c>
      <c r="C13400" t="s">
        <v>13167</v>
      </c>
    </row>
    <row r="13401" spans="1:3" x14ac:dyDescent="0.25">
      <c r="A13401" t="str">
        <f>"0611832684100"</f>
        <v>0611832684100</v>
      </c>
      <c r="B13401" t="str">
        <f>"LK4067"</f>
        <v>LK4067</v>
      </c>
      <c r="C13401" t="s">
        <v>13169</v>
      </c>
    </row>
    <row r="13402" spans="1:3" x14ac:dyDescent="0.25">
      <c r="A13402" t="str">
        <f>"0611832674100"</f>
        <v>0611832674100</v>
      </c>
      <c r="B13402" t="str">
        <f>"LK4718"</f>
        <v>LK4718</v>
      </c>
      <c r="C13402" t="s">
        <v>13168</v>
      </c>
    </row>
    <row r="13403" spans="1:3" x14ac:dyDescent="0.25">
      <c r="A13403" t="str">
        <f>"0611832686100"</f>
        <v>0611832686100</v>
      </c>
      <c r="B13403" t="str">
        <f>"LK4076"</f>
        <v>LK4076</v>
      </c>
      <c r="C13403" t="s">
        <v>13171</v>
      </c>
    </row>
    <row r="13404" spans="1:3" x14ac:dyDescent="0.25">
      <c r="A13404" t="str">
        <f>"0611832687100"</f>
        <v>0611832687100</v>
      </c>
      <c r="B13404" t="str">
        <f>"LK4068"</f>
        <v>LK4068</v>
      </c>
      <c r="C13404" t="s">
        <v>13172</v>
      </c>
    </row>
    <row r="13405" spans="1:3" x14ac:dyDescent="0.25">
      <c r="A13405" t="str">
        <f>"0611832689100"</f>
        <v>0611832689100</v>
      </c>
      <c r="B13405" t="str">
        <f>"LK6216"</f>
        <v>LK6216</v>
      </c>
      <c r="C13405" t="s">
        <v>13173</v>
      </c>
    </row>
    <row r="13406" spans="1:3" x14ac:dyDescent="0.25">
      <c r="A13406" t="str">
        <f>"0611832690100"</f>
        <v>0611832690100</v>
      </c>
      <c r="B13406" t="str">
        <f>"LK6217"</f>
        <v>LK6217</v>
      </c>
      <c r="C13406" t="s">
        <v>13174</v>
      </c>
    </row>
    <row r="13407" spans="1:3" x14ac:dyDescent="0.25">
      <c r="A13407" t="str">
        <f>"0611832691100"</f>
        <v>0611832691100</v>
      </c>
      <c r="B13407" t="str">
        <f>"LK6830"</f>
        <v>LK6830</v>
      </c>
      <c r="C13407" t="s">
        <v>13175</v>
      </c>
    </row>
    <row r="13408" spans="1:3" x14ac:dyDescent="0.25">
      <c r="A13408" t="str">
        <f>"0611832692100"</f>
        <v>0611832692100</v>
      </c>
      <c r="B13408" t="str">
        <f>"LK6354"</f>
        <v>LK6354</v>
      </c>
      <c r="C13408" t="s">
        <v>13176</v>
      </c>
    </row>
    <row r="13409" spans="1:3" x14ac:dyDescent="0.25">
      <c r="A13409" t="str">
        <f>"0611864289100"</f>
        <v>0611864289100</v>
      </c>
      <c r="B13409" t="str">
        <f>"CN2395"</f>
        <v>CN2395</v>
      </c>
      <c r="C13409" t="s">
        <v>13177</v>
      </c>
    </row>
    <row r="13410" spans="1:3" x14ac:dyDescent="0.25">
      <c r="A13410" t="str">
        <f>"0611840069025"</f>
        <v>0611840069025</v>
      </c>
      <c r="B13410" t="str">
        <f>"MC2855"</f>
        <v>MC2855</v>
      </c>
      <c r="C13410" t="s">
        <v>13077</v>
      </c>
    </row>
    <row r="13411" spans="1:3" x14ac:dyDescent="0.25">
      <c r="A13411" t="str">
        <f>"0611864290100"</f>
        <v>0611864290100</v>
      </c>
      <c r="B13411" t="str">
        <f>"CN5422"</f>
        <v>CN5422</v>
      </c>
      <c r="C13411" t="s">
        <v>13178</v>
      </c>
    </row>
    <row r="13412" spans="1:3" x14ac:dyDescent="0.25">
      <c r="A13412" t="str">
        <f>"0611840071025"</f>
        <v>0611840071025</v>
      </c>
      <c r="B13412" t="str">
        <f>"MC1409"</f>
        <v>MC1409</v>
      </c>
      <c r="C13412" t="s">
        <v>13078</v>
      </c>
    </row>
    <row r="13413" spans="1:3" x14ac:dyDescent="0.25">
      <c r="A13413" t="str">
        <f>"0611840072100"</f>
        <v>0611840072100</v>
      </c>
      <c r="B13413" t="str">
        <f>"LH8673"</f>
        <v>LH8673</v>
      </c>
      <c r="C13413" t="s">
        <v>13091</v>
      </c>
    </row>
    <row r="13414" spans="1:3" x14ac:dyDescent="0.25">
      <c r="A13414" t="str">
        <f>"0611864292100"</f>
        <v>0611864292100</v>
      </c>
      <c r="B13414" t="str">
        <f>"CN5423"</f>
        <v>CN5423</v>
      </c>
      <c r="C13414" t="s">
        <v>13092</v>
      </c>
    </row>
    <row r="13415" spans="1:3" x14ac:dyDescent="0.25">
      <c r="A13415" t="str">
        <f>"0611840073025"</f>
        <v>0611840073025</v>
      </c>
      <c r="B13415" t="str">
        <f>"MC3932"</f>
        <v>MC3932</v>
      </c>
      <c r="C13415" t="s">
        <v>13093</v>
      </c>
    </row>
    <row r="13416" spans="1:3" x14ac:dyDescent="0.25">
      <c r="A13416" t="str">
        <f>"0611840074025"</f>
        <v>0611840074025</v>
      </c>
      <c r="B13416" t="str">
        <f>"MC0742"</f>
        <v>MC0742</v>
      </c>
      <c r="C13416" t="s">
        <v>13094</v>
      </c>
    </row>
    <row r="13417" spans="1:3" x14ac:dyDescent="0.25">
      <c r="A13417" t="str">
        <f>"0611864294100"</f>
        <v>0611864294100</v>
      </c>
      <c r="B13417" t="str">
        <f>"CN5424"</f>
        <v>CN5424</v>
      </c>
      <c r="C13417" t="s">
        <v>13140</v>
      </c>
    </row>
    <row r="13418" spans="1:3" x14ac:dyDescent="0.25">
      <c r="A13418" t="str">
        <f>"0611840078100"</f>
        <v>0611840078100</v>
      </c>
      <c r="B13418" t="str">
        <f>"LQ0336"</f>
        <v>LQ0336</v>
      </c>
      <c r="C13418" t="s">
        <v>13147</v>
      </c>
    </row>
    <row r="13419" spans="1:3" x14ac:dyDescent="0.25">
      <c r="A13419" t="str">
        <f>"0611840079025"</f>
        <v>0611840079025</v>
      </c>
      <c r="B13419" t="str">
        <f>"MQ0387"</f>
        <v>MQ0387</v>
      </c>
      <c r="C13419" t="s">
        <v>13148</v>
      </c>
    </row>
    <row r="13420" spans="1:3" x14ac:dyDescent="0.25">
      <c r="A13420" t="str">
        <f>"0611864296100"</f>
        <v>0611864296100</v>
      </c>
      <c r="B13420" t="str">
        <f>"CN5425"</f>
        <v>CN5425</v>
      </c>
      <c r="C13420" t="s">
        <v>13149</v>
      </c>
    </row>
    <row r="13421" spans="1:3" x14ac:dyDescent="0.25">
      <c r="A13421" t="str">
        <f>"0611864299050"</f>
        <v>0611864299050</v>
      </c>
      <c r="B13421" t="str">
        <f>"CE1057"</f>
        <v>CE1057</v>
      </c>
      <c r="C13421" t="s">
        <v>13179</v>
      </c>
    </row>
    <row r="13422" spans="1:3" x14ac:dyDescent="0.25">
      <c r="A13422" t="str">
        <f>"0611840081100"</f>
        <v>0611840081100</v>
      </c>
      <c r="B13422" t="str">
        <f>"LH8671"</f>
        <v>LH8671</v>
      </c>
      <c r="C13422" t="s">
        <v>13180</v>
      </c>
    </row>
    <row r="13423" spans="1:3" x14ac:dyDescent="0.25">
      <c r="A13423" t="str">
        <f>"0611840082025"</f>
        <v>0611840082025</v>
      </c>
      <c r="B13423" t="str">
        <f>"MC1411"</f>
        <v>MC1411</v>
      </c>
      <c r="C13423" t="s">
        <v>13181</v>
      </c>
    </row>
    <row r="13424" spans="1:3" x14ac:dyDescent="0.25">
      <c r="A13424" t="str">
        <f>"0611840083100"</f>
        <v>0611840083100</v>
      </c>
      <c r="B13424" t="str">
        <f>"LK1511"</f>
        <v>LK1511</v>
      </c>
      <c r="C13424" t="s">
        <v>13958</v>
      </c>
    </row>
    <row r="13425" spans="1:3" x14ac:dyDescent="0.25">
      <c r="A13425" t="str">
        <f>"0611840084025"</f>
        <v>0611840084025</v>
      </c>
      <c r="B13425" t="str">
        <f>"MC2192"</f>
        <v>MC2192</v>
      </c>
      <c r="C13425" t="s">
        <v>13218</v>
      </c>
    </row>
    <row r="13426" spans="1:3" x14ac:dyDescent="0.25">
      <c r="A13426" t="str">
        <f>"0611864300100"</f>
        <v>0611864300100</v>
      </c>
      <c r="B13426" t="str">
        <f>"CN5426"</f>
        <v>CN5426</v>
      </c>
      <c r="C13426" t="s">
        <v>13219</v>
      </c>
    </row>
    <row r="13427" spans="1:3" x14ac:dyDescent="0.25">
      <c r="A13427" t="str">
        <f>"0611864301050"</f>
        <v>0611864301050</v>
      </c>
      <c r="B13427" t="str">
        <f>"CR4514"</f>
        <v>CR4514</v>
      </c>
      <c r="C13427" t="s">
        <v>13220</v>
      </c>
    </row>
    <row r="13428" spans="1:3" x14ac:dyDescent="0.25">
      <c r="A13428" t="str">
        <f>"0611861096050"</f>
        <v>0611861096050</v>
      </c>
      <c r="B13428" t="str">
        <f>"CE0575"</f>
        <v>CE0575</v>
      </c>
      <c r="C13428" t="s">
        <v>13182</v>
      </c>
    </row>
    <row r="13429" spans="1:3" x14ac:dyDescent="0.25">
      <c r="A13429" t="str">
        <f>"0611893674050"</f>
        <v>0611893674050</v>
      </c>
      <c r="B13429" t="str">
        <f>"CE1764"</f>
        <v>CE1764</v>
      </c>
      <c r="C13429" t="s">
        <v>13183</v>
      </c>
    </row>
    <row r="13430" spans="1:3" x14ac:dyDescent="0.25">
      <c r="A13430" t="str">
        <f>"0611893675050"</f>
        <v>0611893675050</v>
      </c>
      <c r="B13430" t="str">
        <f>"CE1765"</f>
        <v>CE1765</v>
      </c>
      <c r="C13430" t="s">
        <v>13184</v>
      </c>
    </row>
    <row r="13431" spans="1:3" x14ac:dyDescent="0.25">
      <c r="A13431" t="str">
        <f>"0611893676050"</f>
        <v>0611893676050</v>
      </c>
      <c r="B13431" t="str">
        <f>"CE1766"</f>
        <v>CE1766</v>
      </c>
      <c r="C13431" t="s">
        <v>13185</v>
      </c>
    </row>
    <row r="13432" spans="1:3" x14ac:dyDescent="0.25">
      <c r="A13432" t="str">
        <f>"0611893677050"</f>
        <v>0611893677050</v>
      </c>
      <c r="B13432" t="str">
        <f>"CE1767"</f>
        <v>CE1767</v>
      </c>
      <c r="C13432" t="s">
        <v>13186</v>
      </c>
    </row>
    <row r="13433" spans="1:3" x14ac:dyDescent="0.25">
      <c r="A13433" t="str">
        <f>"0611832698100"</f>
        <v>0611832698100</v>
      </c>
      <c r="B13433" t="str">
        <f>"LK1785"</f>
        <v>LK1785</v>
      </c>
      <c r="C13433" t="s">
        <v>13192</v>
      </c>
    </row>
    <row r="13434" spans="1:3" x14ac:dyDescent="0.25">
      <c r="A13434" t="str">
        <f>"0611832713100"</f>
        <v>0611832713100</v>
      </c>
      <c r="B13434" t="str">
        <f>"LB9274"</f>
        <v>LB9274</v>
      </c>
      <c r="C13434" t="s">
        <v>13206</v>
      </c>
    </row>
    <row r="13435" spans="1:3" x14ac:dyDescent="0.25">
      <c r="A13435" t="str">
        <f>"0611832716100"</f>
        <v>0611832716100</v>
      </c>
      <c r="B13435" t="str">
        <f>"LK2011"</f>
        <v>LK2011</v>
      </c>
      <c r="C13435" t="s">
        <v>13209</v>
      </c>
    </row>
    <row r="13436" spans="1:3" x14ac:dyDescent="0.25">
      <c r="A13436" t="str">
        <f>"0611832719100"</f>
        <v>0611832719100</v>
      </c>
      <c r="B13436" t="str">
        <f>"LB9306"</f>
        <v>LB9306</v>
      </c>
      <c r="C13436" t="s">
        <v>13212</v>
      </c>
    </row>
    <row r="13437" spans="1:3" x14ac:dyDescent="0.25">
      <c r="A13437" t="str">
        <f>"0611832723100"</f>
        <v>0611832723100</v>
      </c>
      <c r="B13437" t="str">
        <f>"LK4080"</f>
        <v>LK4080</v>
      </c>
      <c r="C13437" t="s">
        <v>13193</v>
      </c>
    </row>
    <row r="13438" spans="1:3" x14ac:dyDescent="0.25">
      <c r="A13438" t="str">
        <f>"0611832701100"</f>
        <v>0611832701100</v>
      </c>
      <c r="B13438" t="str">
        <f>"LK4382"</f>
        <v>LK4382</v>
      </c>
      <c r="C13438" t="s">
        <v>13194</v>
      </c>
    </row>
    <row r="13439" spans="1:3" x14ac:dyDescent="0.25">
      <c r="A13439" t="str">
        <f>"0611832702100"</f>
        <v>0611832702100</v>
      </c>
      <c r="B13439" t="str">
        <f>"LK4082"</f>
        <v>LK4082</v>
      </c>
      <c r="C13439" t="s">
        <v>13195</v>
      </c>
    </row>
    <row r="13440" spans="1:3" x14ac:dyDescent="0.25">
      <c r="A13440" t="str">
        <f>"0611832703100"</f>
        <v>0611832703100</v>
      </c>
      <c r="B13440" t="str">
        <f>"LK4083"</f>
        <v>LK4083</v>
      </c>
      <c r="C13440" t="s">
        <v>13196</v>
      </c>
    </row>
    <row r="13441" spans="1:3" x14ac:dyDescent="0.25">
      <c r="A13441" t="str">
        <f>"0611832704100"</f>
        <v>0611832704100</v>
      </c>
      <c r="B13441" t="str">
        <f>"LK4085"</f>
        <v>LK4085</v>
      </c>
      <c r="C13441" t="s">
        <v>13197</v>
      </c>
    </row>
    <row r="13442" spans="1:3" x14ac:dyDescent="0.25">
      <c r="A13442" t="str">
        <f>"0611832705100"</f>
        <v>0611832705100</v>
      </c>
      <c r="B13442" t="str">
        <f>"LK4086"</f>
        <v>LK4086</v>
      </c>
      <c r="C13442" t="s">
        <v>13198</v>
      </c>
    </row>
    <row r="13443" spans="1:3" x14ac:dyDescent="0.25">
      <c r="A13443" t="str">
        <f>"0611832706100"</f>
        <v>0611832706100</v>
      </c>
      <c r="B13443" t="str">
        <f>"LK4087"</f>
        <v>LK4087</v>
      </c>
      <c r="C13443" t="s">
        <v>13199</v>
      </c>
    </row>
    <row r="13444" spans="1:3" x14ac:dyDescent="0.25">
      <c r="A13444" t="str">
        <f>"0611832707100"</f>
        <v>0611832707100</v>
      </c>
      <c r="B13444" t="str">
        <f>"LK4088"</f>
        <v>LK4088</v>
      </c>
      <c r="C13444" t="s">
        <v>13200</v>
      </c>
    </row>
    <row r="13445" spans="1:3" x14ac:dyDescent="0.25">
      <c r="A13445" t="str">
        <f>"0611832724100"</f>
        <v>0611832724100</v>
      </c>
      <c r="B13445" t="str">
        <f>"LK4089"</f>
        <v>LK4089</v>
      </c>
      <c r="C13445" t="s">
        <v>13202</v>
      </c>
    </row>
    <row r="13446" spans="1:3" x14ac:dyDescent="0.25">
      <c r="A13446" t="str">
        <f>"0611832708100"</f>
        <v>0611832708100</v>
      </c>
      <c r="B13446" t="str">
        <f>"LK4090"</f>
        <v>LK4090</v>
      </c>
      <c r="C13446" t="s">
        <v>13201</v>
      </c>
    </row>
    <row r="13447" spans="1:3" x14ac:dyDescent="0.25">
      <c r="A13447" t="str">
        <f>"0611832709100"</f>
        <v>0611832709100</v>
      </c>
      <c r="B13447" t="str">
        <f>"LK4091"</f>
        <v>LK4091</v>
      </c>
      <c r="C13447" t="s">
        <v>13203</v>
      </c>
    </row>
    <row r="13448" spans="1:3" x14ac:dyDescent="0.25">
      <c r="A13448" t="str">
        <f>"0611832710100"</f>
        <v>0611832710100</v>
      </c>
      <c r="B13448" t="str">
        <f>"LK4541"</f>
        <v>LK4541</v>
      </c>
      <c r="C13448" t="s">
        <v>13204</v>
      </c>
    </row>
    <row r="13449" spans="1:3" x14ac:dyDescent="0.25">
      <c r="A13449" t="str">
        <f>"0611832711100"</f>
        <v>0611832711100</v>
      </c>
      <c r="B13449" t="str">
        <f>"LK4542"</f>
        <v>LK4542</v>
      </c>
      <c r="C13449" t="s">
        <v>13205</v>
      </c>
    </row>
    <row r="13450" spans="1:3" x14ac:dyDescent="0.25">
      <c r="A13450" t="str">
        <f>"0611832714100"</f>
        <v>0611832714100</v>
      </c>
      <c r="B13450" t="str">
        <f>"LK4092"</f>
        <v>LK4092</v>
      </c>
      <c r="C13450" t="s">
        <v>13207</v>
      </c>
    </row>
    <row r="13451" spans="1:3" x14ac:dyDescent="0.25">
      <c r="A13451" t="str">
        <f>"0611832715100"</f>
        <v>0611832715100</v>
      </c>
      <c r="B13451" t="str">
        <f>"LK4093"</f>
        <v>LK4093</v>
      </c>
      <c r="C13451" t="s">
        <v>13208</v>
      </c>
    </row>
    <row r="13452" spans="1:3" x14ac:dyDescent="0.25">
      <c r="A13452" t="str">
        <f>"0611832717100"</f>
        <v>0611832717100</v>
      </c>
      <c r="B13452" t="str">
        <f>"LK4094"</f>
        <v>LK4094</v>
      </c>
      <c r="C13452" t="s">
        <v>13210</v>
      </c>
    </row>
    <row r="13453" spans="1:3" x14ac:dyDescent="0.25">
      <c r="A13453" t="str">
        <f>"0611832718100"</f>
        <v>0611832718100</v>
      </c>
      <c r="B13453" t="str">
        <f>"LK4096"</f>
        <v>LK4096</v>
      </c>
      <c r="C13453" t="s">
        <v>13211</v>
      </c>
    </row>
    <row r="13454" spans="1:3" x14ac:dyDescent="0.25">
      <c r="A13454" t="str">
        <f>"0611832720100"</f>
        <v>0611832720100</v>
      </c>
      <c r="B13454" t="str">
        <f>"LK4097"</f>
        <v>LK4097</v>
      </c>
      <c r="C13454" t="s">
        <v>13213</v>
      </c>
    </row>
    <row r="13455" spans="1:3" x14ac:dyDescent="0.25">
      <c r="A13455" t="str">
        <f>"0611832721100"</f>
        <v>0611832721100</v>
      </c>
      <c r="B13455" t="str">
        <f>"LK3536"</f>
        <v>LK3536</v>
      </c>
      <c r="C13455" t="s">
        <v>13214</v>
      </c>
    </row>
    <row r="13456" spans="1:3" x14ac:dyDescent="0.25">
      <c r="A13456" t="str">
        <f>"0611832722100"</f>
        <v>0611832722100</v>
      </c>
      <c r="B13456" t="str">
        <f>"LK4099"</f>
        <v>LK4099</v>
      </c>
      <c r="C13456" t="s">
        <v>13215</v>
      </c>
    </row>
    <row r="13457" spans="1:3" x14ac:dyDescent="0.25">
      <c r="A13457" t="str">
        <f>"0611832725100"</f>
        <v>0611832725100</v>
      </c>
      <c r="B13457" t="str">
        <f>"LB9355"</f>
        <v>LB9355</v>
      </c>
      <c r="C13457" t="s">
        <v>13216</v>
      </c>
    </row>
    <row r="13458" spans="1:3" x14ac:dyDescent="0.25">
      <c r="A13458" t="str">
        <f>"0611884496100"</f>
        <v>0611884496100</v>
      </c>
      <c r="B13458" t="str">
        <f>"LQ3933"</f>
        <v>LQ3933</v>
      </c>
      <c r="C13458" t="s">
        <v>13217</v>
      </c>
    </row>
    <row r="13459" spans="1:3" x14ac:dyDescent="0.25">
      <c r="A13459" t="str">
        <f>"0611884497100"</f>
        <v>0611884497100</v>
      </c>
      <c r="B13459" t="str">
        <f>"LK7184"</f>
        <v>LK7184</v>
      </c>
      <c r="C13459" t="s">
        <v>13221</v>
      </c>
    </row>
    <row r="13460" spans="1:3" x14ac:dyDescent="0.25">
      <c r="A13460" t="str">
        <f>"0611884498100"</f>
        <v>0611884498100</v>
      </c>
      <c r="B13460" t="str">
        <f>"LK7185"</f>
        <v>LK7185</v>
      </c>
      <c r="C13460" t="s">
        <v>13222</v>
      </c>
    </row>
    <row r="13461" spans="1:3" x14ac:dyDescent="0.25">
      <c r="A13461" t="str">
        <f>"0611884499100"</f>
        <v>0611884499100</v>
      </c>
      <c r="B13461" t="str">
        <f>"LK7186"</f>
        <v>LK7186</v>
      </c>
      <c r="C13461" t="s">
        <v>13223</v>
      </c>
    </row>
    <row r="13462" spans="1:3" x14ac:dyDescent="0.25">
      <c r="A13462" t="str">
        <f>"0611884500100"</f>
        <v>0611884500100</v>
      </c>
      <c r="B13462" t="str">
        <f>"LK7187"</f>
        <v>LK7187</v>
      </c>
      <c r="C13462" t="s">
        <v>13224</v>
      </c>
    </row>
    <row r="13463" spans="1:3" x14ac:dyDescent="0.25">
      <c r="A13463" t="str">
        <f>"0611884501100"</f>
        <v>0611884501100</v>
      </c>
      <c r="B13463" t="str">
        <f>"LK7188"</f>
        <v>LK7188</v>
      </c>
      <c r="C13463" t="s">
        <v>13225</v>
      </c>
    </row>
    <row r="13464" spans="1:3" x14ac:dyDescent="0.25">
      <c r="A13464" t="str">
        <f>"0611884502100"</f>
        <v>0611884502100</v>
      </c>
      <c r="B13464" t="str">
        <f>"LK7189"</f>
        <v>LK7189</v>
      </c>
      <c r="C13464" t="s">
        <v>13226</v>
      </c>
    </row>
    <row r="13465" spans="1:3" x14ac:dyDescent="0.25">
      <c r="A13465" t="str">
        <f>"0611884503100"</f>
        <v>0611884503100</v>
      </c>
      <c r="B13465" t="str">
        <f>"LK7190"</f>
        <v>LK7190</v>
      </c>
      <c r="C13465" t="s">
        <v>13227</v>
      </c>
    </row>
    <row r="13466" spans="1:3" x14ac:dyDescent="0.25">
      <c r="A13466" t="str">
        <f>"0611884504100"</f>
        <v>0611884504100</v>
      </c>
      <c r="B13466" t="str">
        <f>"LK7191"</f>
        <v>LK7191</v>
      </c>
      <c r="C13466" t="s">
        <v>13228</v>
      </c>
    </row>
    <row r="13467" spans="1:3" x14ac:dyDescent="0.25">
      <c r="A13467" t="str">
        <f>"0611884505100"</f>
        <v>0611884505100</v>
      </c>
      <c r="B13467" t="str">
        <f>"LK7192"</f>
        <v>LK7192</v>
      </c>
      <c r="C13467" t="s">
        <v>13229</v>
      </c>
    </row>
    <row r="13468" spans="1:3" x14ac:dyDescent="0.25">
      <c r="A13468" t="str">
        <f>"0611884506100"</f>
        <v>0611884506100</v>
      </c>
      <c r="B13468" t="str">
        <f>"LK7193"</f>
        <v>LK7193</v>
      </c>
      <c r="C13468" t="s">
        <v>13230</v>
      </c>
    </row>
    <row r="13469" spans="1:3" x14ac:dyDescent="0.25">
      <c r="A13469" t="str">
        <f>"0611832726100"</f>
        <v>0611832726100</v>
      </c>
      <c r="B13469" t="str">
        <f>"LK1010"</f>
        <v>LK1010</v>
      </c>
      <c r="C13469" t="s">
        <v>13231</v>
      </c>
    </row>
    <row r="13470" spans="1:3" x14ac:dyDescent="0.25">
      <c r="A13470" t="str">
        <f>"0611832727100"</f>
        <v>0611832727100</v>
      </c>
      <c r="B13470" t="str">
        <f>"LK1077"</f>
        <v>LK1077</v>
      </c>
      <c r="C13470" t="s">
        <v>13232</v>
      </c>
    </row>
    <row r="13471" spans="1:3" x14ac:dyDescent="0.25">
      <c r="A13471" t="str">
        <f>"0611832728100"</f>
        <v>0611832728100</v>
      </c>
      <c r="B13471" t="str">
        <f>"LK1011"</f>
        <v>LK1011</v>
      </c>
      <c r="C13471" t="s">
        <v>13233</v>
      </c>
    </row>
    <row r="13472" spans="1:3" x14ac:dyDescent="0.25">
      <c r="A13472" t="str">
        <f>"0611832729100"</f>
        <v>0611832729100</v>
      </c>
      <c r="B13472" t="str">
        <f>"LK4104"</f>
        <v>LK4104</v>
      </c>
      <c r="C13472" t="s">
        <v>13234</v>
      </c>
    </row>
    <row r="13473" spans="1:3" x14ac:dyDescent="0.25">
      <c r="A13473" t="str">
        <f>"0611832730100"</f>
        <v>0611832730100</v>
      </c>
      <c r="B13473" t="str">
        <f>"LK4544"</f>
        <v>LK4544</v>
      </c>
      <c r="C13473" t="s">
        <v>13235</v>
      </c>
    </row>
    <row r="13474" spans="1:3" x14ac:dyDescent="0.25">
      <c r="A13474" t="str">
        <f>"0611832731100"</f>
        <v>0611832731100</v>
      </c>
      <c r="B13474" t="str">
        <f>"LK5151"</f>
        <v>LK5151</v>
      </c>
      <c r="C13474" t="s">
        <v>13236</v>
      </c>
    </row>
    <row r="13475" spans="1:3" x14ac:dyDescent="0.25">
      <c r="A13475" t="str">
        <f>"0611832732100"</f>
        <v>0611832732100</v>
      </c>
      <c r="B13475" t="str">
        <f>"LK1012"</f>
        <v>LK1012</v>
      </c>
      <c r="C13475" t="s">
        <v>13237</v>
      </c>
    </row>
    <row r="13476" spans="1:3" x14ac:dyDescent="0.25">
      <c r="A13476" t="str">
        <f>"0611832733100"</f>
        <v>0611832733100</v>
      </c>
      <c r="B13476" t="str">
        <f>"LK4383"</f>
        <v>LK4383</v>
      </c>
      <c r="C13476" t="s">
        <v>13238</v>
      </c>
    </row>
    <row r="13477" spans="1:3" x14ac:dyDescent="0.25">
      <c r="A13477" t="str">
        <f>"0611832736100"</f>
        <v>0611832736100</v>
      </c>
      <c r="B13477" t="str">
        <f>"LK3538"</f>
        <v>LK3538</v>
      </c>
      <c r="C13477" t="s">
        <v>13239</v>
      </c>
    </row>
    <row r="13478" spans="1:3" x14ac:dyDescent="0.25">
      <c r="A13478" t="str">
        <f>"0611832737100"</f>
        <v>0611832737100</v>
      </c>
      <c r="B13478" t="str">
        <f>"LK4545"</f>
        <v>LK4545</v>
      </c>
      <c r="C13478" t="s">
        <v>13240</v>
      </c>
    </row>
    <row r="13479" spans="1:3" x14ac:dyDescent="0.25">
      <c r="A13479" t="str">
        <f>"0611832738100"</f>
        <v>0611832738100</v>
      </c>
      <c r="B13479" t="str">
        <f>"LK3054"</f>
        <v>LK3054</v>
      </c>
      <c r="C13479" t="s">
        <v>13241</v>
      </c>
    </row>
    <row r="13480" spans="1:3" x14ac:dyDescent="0.25">
      <c r="A13480" t="str">
        <f>"0611832739100"</f>
        <v>0611832739100</v>
      </c>
      <c r="B13480" t="str">
        <f>"LK5530"</f>
        <v>LK5530</v>
      </c>
      <c r="C13480" t="s">
        <v>13242</v>
      </c>
    </row>
    <row r="13481" spans="1:3" x14ac:dyDescent="0.25">
      <c r="A13481" t="str">
        <f>"0611832740100"</f>
        <v>0611832740100</v>
      </c>
      <c r="B13481" t="str">
        <f>"LK1015"</f>
        <v>LK1015</v>
      </c>
      <c r="C13481" t="s">
        <v>13243</v>
      </c>
    </row>
    <row r="13482" spans="1:3" x14ac:dyDescent="0.25">
      <c r="A13482" t="str">
        <f>"0611832741100"</f>
        <v>0611832741100</v>
      </c>
      <c r="B13482" t="str">
        <f>"LK1016"</f>
        <v>LK1016</v>
      </c>
      <c r="C13482" t="s">
        <v>13244</v>
      </c>
    </row>
    <row r="13483" spans="1:3" x14ac:dyDescent="0.25">
      <c r="A13483" t="str">
        <f>"0611832742100"</f>
        <v>0611832742100</v>
      </c>
      <c r="B13483" t="str">
        <f>"LK6885"</f>
        <v>LK6885</v>
      </c>
      <c r="C13483" t="s">
        <v>13245</v>
      </c>
    </row>
    <row r="13484" spans="1:3" x14ac:dyDescent="0.25">
      <c r="A13484" t="str">
        <f>"0611832743100"</f>
        <v>0611832743100</v>
      </c>
      <c r="B13484" t="str">
        <f>"LK6477"</f>
        <v>LK6477</v>
      </c>
      <c r="C13484" t="s">
        <v>13246</v>
      </c>
    </row>
    <row r="13485" spans="1:3" x14ac:dyDescent="0.25">
      <c r="A13485" t="str">
        <f>"0611832744100"</f>
        <v>0611832744100</v>
      </c>
      <c r="B13485" t="str">
        <f>"LK6886"</f>
        <v>LK6886</v>
      </c>
      <c r="C13485" t="s">
        <v>13247</v>
      </c>
    </row>
    <row r="13486" spans="1:3" x14ac:dyDescent="0.25">
      <c r="A13486" t="str">
        <f>"0611857175100"</f>
        <v>0611857175100</v>
      </c>
      <c r="B13486" t="str">
        <f>"LK7109"</f>
        <v>LK7109</v>
      </c>
      <c r="C13486" t="s">
        <v>13248</v>
      </c>
    </row>
    <row r="13487" spans="1:3" x14ac:dyDescent="0.25">
      <c r="A13487" t="str">
        <f>"0611832745100"</f>
        <v>0611832745100</v>
      </c>
      <c r="B13487" t="str">
        <f>"LK6478"</f>
        <v>LK6478</v>
      </c>
      <c r="C13487" t="s">
        <v>13249</v>
      </c>
    </row>
    <row r="13488" spans="1:3" x14ac:dyDescent="0.25">
      <c r="A13488" t="str">
        <f>"0611832746100"</f>
        <v>0611832746100</v>
      </c>
      <c r="B13488" t="str">
        <f>"LK6479"</f>
        <v>LK6479</v>
      </c>
      <c r="C13488" t="s">
        <v>13250</v>
      </c>
    </row>
    <row r="13489" spans="1:3" x14ac:dyDescent="0.25">
      <c r="A13489" t="str">
        <f>"0611832747100"</f>
        <v>0611832747100</v>
      </c>
      <c r="B13489" t="str">
        <f>"LK6480"</f>
        <v>LK6480</v>
      </c>
      <c r="C13489" t="s">
        <v>13251</v>
      </c>
    </row>
    <row r="13490" spans="1:3" x14ac:dyDescent="0.25">
      <c r="A13490" t="str">
        <f>"0611832748100"</f>
        <v>0611832748100</v>
      </c>
      <c r="B13490" t="str">
        <f>"LK4384"</f>
        <v>LK4384</v>
      </c>
      <c r="C13490" t="s">
        <v>13252</v>
      </c>
    </row>
    <row r="13491" spans="1:3" x14ac:dyDescent="0.25">
      <c r="A13491" t="str">
        <f>"0611832749100"</f>
        <v>0611832749100</v>
      </c>
      <c r="B13491" t="str">
        <f>"LK1790"</f>
        <v>LK1790</v>
      </c>
      <c r="C13491" t="s">
        <v>13253</v>
      </c>
    </row>
    <row r="13492" spans="1:3" x14ac:dyDescent="0.25">
      <c r="A13492" t="str">
        <f>"0611832750100"</f>
        <v>0611832750100</v>
      </c>
      <c r="B13492" t="str">
        <f>"LK4546"</f>
        <v>LK4546</v>
      </c>
      <c r="C13492" t="s">
        <v>13254</v>
      </c>
    </row>
    <row r="13493" spans="1:3" x14ac:dyDescent="0.25">
      <c r="A13493" t="str">
        <f>"0611832751100"</f>
        <v>0611832751100</v>
      </c>
      <c r="B13493" t="str">
        <f>"LK1791"</f>
        <v>LK1791</v>
      </c>
      <c r="C13493" t="s">
        <v>13255</v>
      </c>
    </row>
    <row r="13494" spans="1:3" x14ac:dyDescent="0.25">
      <c r="A13494" t="str">
        <f>"0611832752100"</f>
        <v>0611832752100</v>
      </c>
      <c r="B13494" t="str">
        <f>"LK4547"</f>
        <v>LK4547</v>
      </c>
      <c r="C13494" t="s">
        <v>13256</v>
      </c>
    </row>
    <row r="13495" spans="1:3" x14ac:dyDescent="0.25">
      <c r="A13495" t="str">
        <f>"0611832753100"</f>
        <v>0611832753100</v>
      </c>
      <c r="B13495" t="str">
        <f>"LK4548"</f>
        <v>LK4548</v>
      </c>
      <c r="C13495" t="s">
        <v>13257</v>
      </c>
    </row>
    <row r="13496" spans="1:3" x14ac:dyDescent="0.25">
      <c r="A13496" t="str">
        <f>"0611857176100"</f>
        <v>0611857176100</v>
      </c>
      <c r="B13496" t="str">
        <f>"LK7110"</f>
        <v>LK7110</v>
      </c>
      <c r="C13496" t="s">
        <v>13258</v>
      </c>
    </row>
    <row r="13497" spans="1:3" x14ac:dyDescent="0.25">
      <c r="A13497" t="str">
        <f>"0611832754100"</f>
        <v>0611832754100</v>
      </c>
      <c r="B13497" t="str">
        <f>"LK4387"</f>
        <v>LK4387</v>
      </c>
      <c r="C13497" t="s">
        <v>13259</v>
      </c>
    </row>
    <row r="13498" spans="1:3" x14ac:dyDescent="0.25">
      <c r="A13498" t="str">
        <f>"0611832755100"</f>
        <v>0611832755100</v>
      </c>
      <c r="B13498" t="str">
        <f>"LK4385"</f>
        <v>LK4385</v>
      </c>
      <c r="C13498" t="s">
        <v>13260</v>
      </c>
    </row>
    <row r="13499" spans="1:3" x14ac:dyDescent="0.25">
      <c r="A13499" t="str">
        <f>"0611832756100"</f>
        <v>0611832756100</v>
      </c>
      <c r="B13499" t="str">
        <f>"LK1792"</f>
        <v>LK1792</v>
      </c>
      <c r="C13499" t="s">
        <v>13261</v>
      </c>
    </row>
    <row r="13500" spans="1:3" x14ac:dyDescent="0.25">
      <c r="A13500" t="str">
        <f>"0611832757100"</f>
        <v>0611832757100</v>
      </c>
      <c r="B13500" t="str">
        <f>"LK1793"</f>
        <v>LK1793</v>
      </c>
      <c r="C13500" t="s">
        <v>13262</v>
      </c>
    </row>
    <row r="13501" spans="1:3" x14ac:dyDescent="0.25">
      <c r="A13501" t="str">
        <f>"0611832758100"</f>
        <v>0611832758100</v>
      </c>
      <c r="B13501" t="str">
        <f>"LK4386"</f>
        <v>LK4386</v>
      </c>
      <c r="C13501" t="s">
        <v>13263</v>
      </c>
    </row>
    <row r="13502" spans="1:3" x14ac:dyDescent="0.25">
      <c r="A13502" t="str">
        <f>"0611832759100"</f>
        <v>0611832759100</v>
      </c>
      <c r="B13502" t="str">
        <f>"LK1795"</f>
        <v>LK1795</v>
      </c>
      <c r="C13502" t="s">
        <v>13264</v>
      </c>
    </row>
    <row r="13503" spans="1:3" x14ac:dyDescent="0.25">
      <c r="A13503" t="str">
        <f>"0611832760100"</f>
        <v>0611832760100</v>
      </c>
      <c r="B13503" t="str">
        <f>"LK1796"</f>
        <v>LK1796</v>
      </c>
      <c r="C13503" t="s">
        <v>13265</v>
      </c>
    </row>
    <row r="13504" spans="1:3" x14ac:dyDescent="0.25">
      <c r="A13504" t="str">
        <f>"0611832761100"</f>
        <v>0611832761100</v>
      </c>
      <c r="B13504" t="str">
        <f>"LK3539"</f>
        <v>LK3539</v>
      </c>
      <c r="C13504" t="s">
        <v>13266</v>
      </c>
    </row>
    <row r="13505" spans="1:3" x14ac:dyDescent="0.25">
      <c r="A13505" t="str">
        <f>"0611832762100"</f>
        <v>0611832762100</v>
      </c>
      <c r="B13505" t="str">
        <f>"LK6157"</f>
        <v>LK6157</v>
      </c>
      <c r="C13505" t="s">
        <v>13267</v>
      </c>
    </row>
    <row r="13506" spans="1:3" x14ac:dyDescent="0.25">
      <c r="A13506" t="str">
        <f>"0611832763100"</f>
        <v>0611832763100</v>
      </c>
      <c r="B13506" t="str">
        <f>"LK4549"</f>
        <v>LK4549</v>
      </c>
      <c r="C13506" t="s">
        <v>13268</v>
      </c>
    </row>
    <row r="13507" spans="1:3" x14ac:dyDescent="0.25">
      <c r="A13507" t="str">
        <f>"0611832764100"</f>
        <v>0611832764100</v>
      </c>
      <c r="B13507" t="str">
        <f>"LK5612"</f>
        <v>LK5612</v>
      </c>
      <c r="C13507" t="s">
        <v>13269</v>
      </c>
    </row>
    <row r="13508" spans="1:3" x14ac:dyDescent="0.25">
      <c r="A13508" t="str">
        <f>"0611832765100"</f>
        <v>0611832765100</v>
      </c>
      <c r="B13508" t="str">
        <f>"LK1797"</f>
        <v>LK1797</v>
      </c>
      <c r="C13508" t="s">
        <v>13270</v>
      </c>
    </row>
    <row r="13509" spans="1:3" x14ac:dyDescent="0.25">
      <c r="A13509" t="str">
        <f>"0611832766100"</f>
        <v>0611832766100</v>
      </c>
      <c r="B13509" t="str">
        <f>"LK5531"</f>
        <v>LK5531</v>
      </c>
      <c r="C13509" t="s">
        <v>13271</v>
      </c>
    </row>
    <row r="13510" spans="1:3" x14ac:dyDescent="0.25">
      <c r="A13510" t="str">
        <f>"0611832767100"</f>
        <v>0611832767100</v>
      </c>
      <c r="B13510" t="str">
        <f>"LK3554"</f>
        <v>LK3554</v>
      </c>
      <c r="C13510" t="s">
        <v>13272</v>
      </c>
    </row>
    <row r="13511" spans="1:3" x14ac:dyDescent="0.25">
      <c r="A13511" t="str">
        <f>"0611832768100"</f>
        <v>0611832768100</v>
      </c>
      <c r="B13511" t="str">
        <f>"LK4550"</f>
        <v>LK4550</v>
      </c>
      <c r="C13511" t="s">
        <v>13273</v>
      </c>
    </row>
    <row r="13512" spans="1:3" x14ac:dyDescent="0.25">
      <c r="A13512" t="str">
        <f>"0611906995100"</f>
        <v>0611906995100</v>
      </c>
      <c r="B13512" t="str">
        <f>"LK7232"</f>
        <v>LK7232</v>
      </c>
      <c r="C13512" t="s">
        <v>13274</v>
      </c>
    </row>
    <row r="13513" spans="1:3" x14ac:dyDescent="0.25">
      <c r="A13513" t="str">
        <f>"0611832769100"</f>
        <v>0611832769100</v>
      </c>
      <c r="B13513" t="str">
        <f>"LK5385"</f>
        <v>LK5385</v>
      </c>
      <c r="C13513" t="s">
        <v>13275</v>
      </c>
    </row>
    <row r="13514" spans="1:3" x14ac:dyDescent="0.25">
      <c r="A13514" t="str">
        <f>"0611832770100"</f>
        <v>0611832770100</v>
      </c>
      <c r="B13514" t="str">
        <f>"LK5392"</f>
        <v>LK5392</v>
      </c>
      <c r="C13514" t="s">
        <v>13276</v>
      </c>
    </row>
    <row r="13515" spans="1:3" x14ac:dyDescent="0.25">
      <c r="A13515" t="str">
        <f>"0611832771100"</f>
        <v>0611832771100</v>
      </c>
      <c r="B13515" t="str">
        <f>"LK5397"</f>
        <v>LK5397</v>
      </c>
      <c r="C13515" t="s">
        <v>13277</v>
      </c>
    </row>
    <row r="13516" spans="1:3" x14ac:dyDescent="0.25">
      <c r="A13516" t="str">
        <f>"0611832772100"</f>
        <v>0611832772100</v>
      </c>
      <c r="B13516" t="str">
        <f>"LK5398"</f>
        <v>LK5398</v>
      </c>
      <c r="C13516" t="s">
        <v>13278</v>
      </c>
    </row>
    <row r="13517" spans="1:3" x14ac:dyDescent="0.25">
      <c r="A13517" t="str">
        <f>"0611832773100"</f>
        <v>0611832773100</v>
      </c>
      <c r="B13517" t="str">
        <f>"LB9309"</f>
        <v>LB9309</v>
      </c>
      <c r="C13517" t="s">
        <v>13279</v>
      </c>
    </row>
    <row r="13518" spans="1:3" x14ac:dyDescent="0.25">
      <c r="A13518" t="str">
        <f>"0611832774100"</f>
        <v>0611832774100</v>
      </c>
      <c r="B13518" t="str">
        <f>"LK5955"</f>
        <v>LK5955</v>
      </c>
      <c r="C13518" t="s">
        <v>13280</v>
      </c>
    </row>
    <row r="13519" spans="1:3" x14ac:dyDescent="0.25">
      <c r="A13519" t="str">
        <f>"0611832775100"</f>
        <v>0611832775100</v>
      </c>
      <c r="B13519" t="str">
        <f>"LK5956"</f>
        <v>LK5956</v>
      </c>
      <c r="C13519" t="s">
        <v>13281</v>
      </c>
    </row>
    <row r="13520" spans="1:3" x14ac:dyDescent="0.25">
      <c r="A13520" t="str">
        <f>"0611832776100"</f>
        <v>0611832776100</v>
      </c>
      <c r="B13520" t="str">
        <f>"LK5957"</f>
        <v>LK5957</v>
      </c>
      <c r="C13520" t="s">
        <v>13282</v>
      </c>
    </row>
    <row r="13521" spans="1:3" x14ac:dyDescent="0.25">
      <c r="A13521" t="str">
        <f>"0611832777100"</f>
        <v>0611832777100</v>
      </c>
      <c r="B13521" t="str">
        <f>"LK6841"</f>
        <v>LK6841</v>
      </c>
      <c r="C13521" t="s">
        <v>13283</v>
      </c>
    </row>
    <row r="13522" spans="1:3" x14ac:dyDescent="0.25">
      <c r="A13522" t="str">
        <f>"0611832778100"</f>
        <v>0611832778100</v>
      </c>
      <c r="B13522" t="str">
        <f>"LK5958"</f>
        <v>LK5958</v>
      </c>
      <c r="C13522" t="s">
        <v>13284</v>
      </c>
    </row>
    <row r="13523" spans="1:3" x14ac:dyDescent="0.25">
      <c r="A13523" t="str">
        <f>"0611832779100"</f>
        <v>0611832779100</v>
      </c>
      <c r="B13523" t="str">
        <f>"LK5959"</f>
        <v>LK5959</v>
      </c>
      <c r="C13523" t="s">
        <v>13285</v>
      </c>
    </row>
    <row r="13524" spans="1:3" x14ac:dyDescent="0.25">
      <c r="A13524" t="str">
        <f>"0611832780100"</f>
        <v>0611832780100</v>
      </c>
      <c r="B13524" t="str">
        <f>"LK5960"</f>
        <v>LK5960</v>
      </c>
      <c r="C13524" t="s">
        <v>13286</v>
      </c>
    </row>
    <row r="13525" spans="1:3" x14ac:dyDescent="0.25">
      <c r="A13525" t="str">
        <f>"0611832781100"</f>
        <v>0611832781100</v>
      </c>
      <c r="B13525" t="str">
        <f>"LK5961"</f>
        <v>LK5961</v>
      </c>
      <c r="C13525" t="s">
        <v>13287</v>
      </c>
    </row>
    <row r="13526" spans="1:3" x14ac:dyDescent="0.25">
      <c r="A13526" t="str">
        <f>"0611832782100"</f>
        <v>0611832782100</v>
      </c>
      <c r="B13526" t="str">
        <f>"LK1430"</f>
        <v>LK1430</v>
      </c>
      <c r="C13526" t="s">
        <v>13291</v>
      </c>
    </row>
    <row r="13527" spans="1:3" x14ac:dyDescent="0.25">
      <c r="A13527" t="str">
        <f>"0611832783100"</f>
        <v>0611832783100</v>
      </c>
      <c r="B13527" t="str">
        <f>"LB9278"</f>
        <v>LB9278</v>
      </c>
      <c r="C13527" t="s">
        <v>13292</v>
      </c>
    </row>
    <row r="13528" spans="1:3" x14ac:dyDescent="0.25">
      <c r="A13528" t="str">
        <f>"0611832784100"</f>
        <v>0611832784100</v>
      </c>
      <c r="B13528" t="str">
        <f>"LB9336"</f>
        <v>LB9336</v>
      </c>
      <c r="C13528" t="s">
        <v>13293</v>
      </c>
    </row>
    <row r="13529" spans="1:3" x14ac:dyDescent="0.25">
      <c r="A13529" t="str">
        <f>"0611832785100"</f>
        <v>0611832785100</v>
      </c>
      <c r="B13529" t="str">
        <f>"LB9343"</f>
        <v>LB9343</v>
      </c>
      <c r="C13529" t="s">
        <v>13294</v>
      </c>
    </row>
    <row r="13530" spans="1:3" x14ac:dyDescent="0.25">
      <c r="A13530" t="str">
        <f>"0611857177100"</f>
        <v>0611857177100</v>
      </c>
      <c r="B13530" t="str">
        <f>"LK7111"</f>
        <v>LK7111</v>
      </c>
      <c r="C13530" t="s">
        <v>13295</v>
      </c>
    </row>
    <row r="13531" spans="1:3" x14ac:dyDescent="0.25">
      <c r="A13531" t="str">
        <f>"0611832789100"</f>
        <v>0611832789100</v>
      </c>
      <c r="B13531" t="str">
        <f>"LK6952"</f>
        <v>LK6952</v>
      </c>
      <c r="C13531" t="s">
        <v>13296</v>
      </c>
    </row>
    <row r="13532" spans="1:3" x14ac:dyDescent="0.25">
      <c r="A13532" t="str">
        <f>"0611832790100"</f>
        <v>0611832790100</v>
      </c>
      <c r="B13532" t="str">
        <f>"LK6953"</f>
        <v>LK6953</v>
      </c>
      <c r="C13532" t="s">
        <v>13297</v>
      </c>
    </row>
    <row r="13533" spans="1:3" x14ac:dyDescent="0.25">
      <c r="A13533" t="str">
        <f>"0611832791100"</f>
        <v>0611832791100</v>
      </c>
      <c r="B13533" t="str">
        <f>"LK6954"</f>
        <v>LK6954</v>
      </c>
      <c r="C13533" t="s">
        <v>13298</v>
      </c>
    </row>
    <row r="13534" spans="1:3" x14ac:dyDescent="0.25">
      <c r="A13534" t="str">
        <f>"0611832792100"</f>
        <v>0611832792100</v>
      </c>
      <c r="B13534" t="str">
        <f>"LK6955"</f>
        <v>LK6955</v>
      </c>
      <c r="C13534" t="s">
        <v>13299</v>
      </c>
    </row>
    <row r="13535" spans="1:3" x14ac:dyDescent="0.25">
      <c r="A13535" t="str">
        <f>"0611832793100"</f>
        <v>0611832793100</v>
      </c>
      <c r="B13535" t="str">
        <f>"LK6956"</f>
        <v>LK6956</v>
      </c>
      <c r="C13535" t="s">
        <v>13300</v>
      </c>
    </row>
    <row r="13536" spans="1:3" x14ac:dyDescent="0.25">
      <c r="A13536" t="str">
        <f>"0611857178100"</f>
        <v>0611857178100</v>
      </c>
      <c r="B13536" t="str">
        <f>"LK7112"</f>
        <v>LK7112</v>
      </c>
      <c r="C13536" t="s">
        <v>13301</v>
      </c>
    </row>
    <row r="13537" spans="1:3" x14ac:dyDescent="0.25">
      <c r="A13537" t="str">
        <f>"0611857179100"</f>
        <v>0611857179100</v>
      </c>
      <c r="B13537" t="str">
        <f>"LK7113"</f>
        <v>LK7113</v>
      </c>
      <c r="C13537" t="s">
        <v>13302</v>
      </c>
    </row>
    <row r="13538" spans="1:3" x14ac:dyDescent="0.25">
      <c r="A13538" t="str">
        <f>"0611832794100"</f>
        <v>0611832794100</v>
      </c>
      <c r="B13538" t="str">
        <f>"LK6957"</f>
        <v>LK6957</v>
      </c>
      <c r="C13538" t="s">
        <v>13303</v>
      </c>
    </row>
    <row r="13539" spans="1:3" x14ac:dyDescent="0.25">
      <c r="A13539" t="str">
        <f>"0611832795100"</f>
        <v>0611832795100</v>
      </c>
      <c r="B13539" t="str">
        <f>"LK6958"</f>
        <v>LK6958</v>
      </c>
      <c r="C13539" t="s">
        <v>13304</v>
      </c>
    </row>
    <row r="13540" spans="1:3" x14ac:dyDescent="0.25">
      <c r="A13540" t="str">
        <f>"0611857180100"</f>
        <v>0611857180100</v>
      </c>
      <c r="B13540" t="str">
        <f>"LK7114"</f>
        <v>LK7114</v>
      </c>
      <c r="C13540" t="s">
        <v>13305</v>
      </c>
    </row>
    <row r="13541" spans="1:3" x14ac:dyDescent="0.25">
      <c r="A13541" t="str">
        <f>"0611832796100"</f>
        <v>0611832796100</v>
      </c>
      <c r="B13541" t="str">
        <f>"LK6959"</f>
        <v>LK6959</v>
      </c>
      <c r="C13541" t="s">
        <v>13306</v>
      </c>
    </row>
    <row r="13542" spans="1:3" x14ac:dyDescent="0.25">
      <c r="A13542" t="str">
        <f>"0611832797100"</f>
        <v>0611832797100</v>
      </c>
      <c r="B13542" t="str">
        <f>"LK6960"</f>
        <v>LK6960</v>
      </c>
      <c r="C13542" t="s">
        <v>13307</v>
      </c>
    </row>
    <row r="13543" spans="1:3" x14ac:dyDescent="0.25">
      <c r="A13543" t="str">
        <f>"0611832802100"</f>
        <v>0611832802100</v>
      </c>
      <c r="B13543" t="str">
        <f>"LK6638"</f>
        <v>LK6638</v>
      </c>
      <c r="C13543" t="s">
        <v>13308</v>
      </c>
    </row>
    <row r="13544" spans="1:3" x14ac:dyDescent="0.25">
      <c r="A13544" t="str">
        <f>"0611832803100"</f>
        <v>0611832803100</v>
      </c>
      <c r="B13544" t="str">
        <f>"LK6961"</f>
        <v>LK6961</v>
      </c>
      <c r="C13544" t="s">
        <v>13309</v>
      </c>
    </row>
    <row r="13545" spans="1:3" x14ac:dyDescent="0.25">
      <c r="A13545" t="str">
        <f>"0611832693100"</f>
        <v>0611832693100</v>
      </c>
      <c r="B13545" t="str">
        <f>"LK4077"</f>
        <v>LK4077</v>
      </c>
      <c r="C13545" t="s">
        <v>13187</v>
      </c>
    </row>
    <row r="13546" spans="1:3" x14ac:dyDescent="0.25">
      <c r="A13546" t="str">
        <f>"0611832694100"</f>
        <v>0611832694100</v>
      </c>
      <c r="B13546" t="str">
        <f>"LK4078"</f>
        <v>LK4078</v>
      </c>
      <c r="C13546" t="s">
        <v>13188</v>
      </c>
    </row>
    <row r="13547" spans="1:3" x14ac:dyDescent="0.25">
      <c r="A13547" t="str">
        <f>"0611832695100"</f>
        <v>0611832695100</v>
      </c>
      <c r="B13547" t="str">
        <f>"LK4540"</f>
        <v>LK4540</v>
      </c>
      <c r="C13547" t="s">
        <v>13189</v>
      </c>
    </row>
    <row r="13548" spans="1:3" x14ac:dyDescent="0.25">
      <c r="A13548" t="str">
        <f>"0611832697100"</f>
        <v>0611832697100</v>
      </c>
      <c r="B13548" t="str">
        <f>"LK4079"</f>
        <v>LK4079</v>
      </c>
      <c r="C13548" t="s">
        <v>13191</v>
      </c>
    </row>
    <row r="13549" spans="1:3" x14ac:dyDescent="0.25">
      <c r="A13549" t="str">
        <f>"0611832696100"</f>
        <v>0611832696100</v>
      </c>
      <c r="B13549" t="str">
        <f>"LK4719"</f>
        <v>LK4719</v>
      </c>
      <c r="C13549" t="s">
        <v>13190</v>
      </c>
    </row>
    <row r="13550" spans="1:3" x14ac:dyDescent="0.25">
      <c r="A13550" t="str">
        <f>"0611884507100"</f>
        <v>0611884507100</v>
      </c>
      <c r="B13550" t="str">
        <f>"LK7194"</f>
        <v>LK7194</v>
      </c>
      <c r="C13550" t="s">
        <v>13312</v>
      </c>
    </row>
    <row r="13551" spans="1:3" x14ac:dyDescent="0.25">
      <c r="A13551" t="str">
        <f>"0611884508100"</f>
        <v>0611884508100</v>
      </c>
      <c r="B13551" t="str">
        <f>"LK7195"</f>
        <v>LK7195</v>
      </c>
      <c r="C13551" t="s">
        <v>13313</v>
      </c>
    </row>
    <row r="13552" spans="1:3" x14ac:dyDescent="0.25">
      <c r="A13552" t="str">
        <f>"0611884509100"</f>
        <v>0611884509100</v>
      </c>
      <c r="B13552" t="str">
        <f>"LK7196"</f>
        <v>LK7196</v>
      </c>
      <c r="C13552" t="s">
        <v>13314</v>
      </c>
    </row>
    <row r="13553" spans="1:3" x14ac:dyDescent="0.25">
      <c r="A13553" t="str">
        <f>"0611906996025"</f>
        <v>0611906996025</v>
      </c>
      <c r="B13553" t="str">
        <f>"MQ0134"</f>
        <v>MQ0134</v>
      </c>
      <c r="C13553" t="s">
        <v>13315</v>
      </c>
    </row>
    <row r="13554" spans="1:3" x14ac:dyDescent="0.25">
      <c r="A13554" t="str">
        <f>"0611884510100"</f>
        <v>0611884510100</v>
      </c>
      <c r="B13554" t="str">
        <f>"LK7197"</f>
        <v>LK7197</v>
      </c>
      <c r="C13554" t="s">
        <v>13316</v>
      </c>
    </row>
    <row r="13555" spans="1:3" x14ac:dyDescent="0.25">
      <c r="A13555" t="str">
        <f>"0611906997100"</f>
        <v>0611906997100</v>
      </c>
      <c r="B13555" t="str">
        <f>"LK7276"</f>
        <v>LK7276</v>
      </c>
      <c r="C13555" t="s">
        <v>13317</v>
      </c>
    </row>
    <row r="13556" spans="1:3" x14ac:dyDescent="0.25">
      <c r="A13556" t="str">
        <f>"0611884512100"</f>
        <v>0611884512100</v>
      </c>
      <c r="B13556" t="str">
        <f>"LK7170"</f>
        <v>LK7170</v>
      </c>
      <c r="C13556" t="s">
        <v>13318</v>
      </c>
    </row>
    <row r="13557" spans="1:3" x14ac:dyDescent="0.25">
      <c r="A13557" t="str">
        <f>"0611884513100"</f>
        <v>0611884513100</v>
      </c>
      <c r="B13557" t="str">
        <f>"LK7198"</f>
        <v>LK7198</v>
      </c>
      <c r="C13557" t="s">
        <v>13319</v>
      </c>
    </row>
    <row r="13558" spans="1:3" x14ac:dyDescent="0.25">
      <c r="A13558" t="str">
        <f>"0611884514100"</f>
        <v>0611884514100</v>
      </c>
      <c r="B13558" t="str">
        <f>"LK7171"</f>
        <v>LK7171</v>
      </c>
      <c r="C13558" t="s">
        <v>13322</v>
      </c>
    </row>
    <row r="13559" spans="1:3" x14ac:dyDescent="0.25">
      <c r="A13559" t="str">
        <f>"0611884515100"</f>
        <v>0611884515100</v>
      </c>
      <c r="B13559" t="str">
        <f>"LK7172"</f>
        <v>LK7172</v>
      </c>
      <c r="C13559" t="s">
        <v>13323</v>
      </c>
    </row>
    <row r="13560" spans="1:3" x14ac:dyDescent="0.25">
      <c r="A13560" t="str">
        <f>"0611884516100"</f>
        <v>0611884516100</v>
      </c>
      <c r="B13560" t="str">
        <f>"LK5830"</f>
        <v>LK5830</v>
      </c>
      <c r="C13560" t="s">
        <v>13324</v>
      </c>
    </row>
    <row r="13561" spans="1:3" x14ac:dyDescent="0.25">
      <c r="A13561" t="str">
        <f>"0611840372100"</f>
        <v>0611840372100</v>
      </c>
      <c r="B13561" t="str">
        <f>"LK5838"</f>
        <v>LK5838</v>
      </c>
      <c r="C13561" t="s">
        <v>13325</v>
      </c>
    </row>
    <row r="13562" spans="1:3" x14ac:dyDescent="0.25">
      <c r="A13562" t="str">
        <f>"0611884517100"</f>
        <v>0611884517100</v>
      </c>
      <c r="B13562" t="str">
        <f>"LK7173"</f>
        <v>LK7173</v>
      </c>
      <c r="C13562" t="s">
        <v>13326</v>
      </c>
    </row>
    <row r="13563" spans="1:3" x14ac:dyDescent="0.25">
      <c r="A13563" t="str">
        <f>"0611840597100"</f>
        <v>0611840597100</v>
      </c>
      <c r="B13563" t="str">
        <f>"LK0438"</f>
        <v>LK0438</v>
      </c>
      <c r="C13563" t="s">
        <v>13327</v>
      </c>
    </row>
    <row r="13564" spans="1:3" x14ac:dyDescent="0.25">
      <c r="A13564" t="str">
        <f>"0611840602100"</f>
        <v>0611840602100</v>
      </c>
      <c r="B13564" t="str">
        <f>"LK1810"</f>
        <v>LK1810</v>
      </c>
      <c r="C13564" t="s">
        <v>13329</v>
      </c>
    </row>
    <row r="13565" spans="1:3" x14ac:dyDescent="0.25">
      <c r="A13565" t="str">
        <f>"0611840603100"</f>
        <v>0611840603100</v>
      </c>
      <c r="B13565" t="str">
        <f>"LK1811"</f>
        <v>LK1811</v>
      </c>
      <c r="C13565" t="s">
        <v>13330</v>
      </c>
    </row>
    <row r="13566" spans="1:3" x14ac:dyDescent="0.25">
      <c r="A13566" t="str">
        <f>"0611840608100"</f>
        <v>0611840608100</v>
      </c>
      <c r="B13566" t="str">
        <f>"LK0440"</f>
        <v>LK0440</v>
      </c>
      <c r="C13566" t="s">
        <v>13335</v>
      </c>
    </row>
    <row r="13567" spans="1:3" x14ac:dyDescent="0.25">
      <c r="A13567" t="str">
        <f>"0611840616100"</f>
        <v>0611840616100</v>
      </c>
      <c r="B13567" t="str">
        <f>"LB9485"</f>
        <v>LB9485</v>
      </c>
      <c r="C13567" t="s">
        <v>13340</v>
      </c>
    </row>
    <row r="13568" spans="1:3" x14ac:dyDescent="0.25">
      <c r="A13568" t="str">
        <f>"0611840618100"</f>
        <v>0611840618100</v>
      </c>
      <c r="B13568" t="str">
        <f>"LK5155"</f>
        <v>LK5155</v>
      </c>
      <c r="C13568" t="s">
        <v>13341</v>
      </c>
    </row>
    <row r="13569" spans="1:3" x14ac:dyDescent="0.25">
      <c r="A13569" t="str">
        <f>"0611840625100"</f>
        <v>0611840625100</v>
      </c>
      <c r="B13569" t="str">
        <f>"LK5613"</f>
        <v>LK5613</v>
      </c>
      <c r="C13569" t="s">
        <v>13346</v>
      </c>
    </row>
    <row r="13570" spans="1:3" x14ac:dyDescent="0.25">
      <c r="A13570" t="str">
        <f>"0611840627100"</f>
        <v>0611840627100</v>
      </c>
      <c r="B13570" t="str">
        <f>"LK6312"</f>
        <v>LK6312</v>
      </c>
      <c r="C13570" t="s">
        <v>13348</v>
      </c>
    </row>
    <row r="13571" spans="1:3" x14ac:dyDescent="0.25">
      <c r="A13571" t="str">
        <f>"0611840628100"</f>
        <v>0611840628100</v>
      </c>
      <c r="B13571" t="str">
        <f>"LK1469"</f>
        <v>LK1469</v>
      </c>
      <c r="C13571" t="s">
        <v>13349</v>
      </c>
    </row>
    <row r="13572" spans="1:3" x14ac:dyDescent="0.25">
      <c r="A13572" t="str">
        <f>"0611840632100"</f>
        <v>0611840632100</v>
      </c>
      <c r="B13572" t="str">
        <f>"LK5978"</f>
        <v>LK5978</v>
      </c>
      <c r="C13572" t="s">
        <v>13350</v>
      </c>
    </row>
    <row r="13573" spans="1:3" x14ac:dyDescent="0.25">
      <c r="A13573" t="str">
        <f>"0611840633100"</f>
        <v>0611840633100</v>
      </c>
      <c r="B13573" t="str">
        <f>"LK5533"</f>
        <v>LK5533</v>
      </c>
      <c r="C13573" t="s">
        <v>13351</v>
      </c>
    </row>
    <row r="13574" spans="1:3" x14ac:dyDescent="0.25">
      <c r="A13574" t="str">
        <f>"0611840638100"</f>
        <v>0611840638100</v>
      </c>
      <c r="B13574" t="str">
        <f>"LK6504"</f>
        <v>LK6504</v>
      </c>
      <c r="C13574" t="s">
        <v>13356</v>
      </c>
    </row>
    <row r="13575" spans="1:3" x14ac:dyDescent="0.25">
      <c r="A13575" t="str">
        <f>"0611840630100"</f>
        <v>0611840630100</v>
      </c>
      <c r="B13575" t="str">
        <f>"LK6505"</f>
        <v>LK6505</v>
      </c>
      <c r="C13575" t="s">
        <v>13357</v>
      </c>
    </row>
    <row r="13576" spans="1:3" x14ac:dyDescent="0.25">
      <c r="A13576" t="str">
        <f>"0611840641100"</f>
        <v>0611840641100</v>
      </c>
      <c r="B13576" t="str">
        <f>"LB9347"</f>
        <v>LB9347</v>
      </c>
      <c r="C13576" t="s">
        <v>13362</v>
      </c>
    </row>
    <row r="13577" spans="1:3" x14ac:dyDescent="0.25">
      <c r="A13577" t="str">
        <f>"0611840643100"</f>
        <v>0611840643100</v>
      </c>
      <c r="B13577" t="str">
        <f>"LB9584"</f>
        <v>LB9584</v>
      </c>
      <c r="C13577" t="s">
        <v>13361</v>
      </c>
    </row>
    <row r="13578" spans="1:3" x14ac:dyDescent="0.25">
      <c r="A13578" t="str">
        <f>"0611840648100"</f>
        <v>0611840648100</v>
      </c>
      <c r="B13578" t="str">
        <f>"LK4909"</f>
        <v>LK4909</v>
      </c>
      <c r="C13578" t="s">
        <v>13366</v>
      </c>
    </row>
    <row r="13579" spans="1:3" x14ac:dyDescent="0.25">
      <c r="A13579" t="str">
        <f>"0611840649100"</f>
        <v>0611840649100</v>
      </c>
      <c r="B13579" t="str">
        <f>"LB9565"</f>
        <v>LB9565</v>
      </c>
      <c r="C13579" t="s">
        <v>13367</v>
      </c>
    </row>
    <row r="13580" spans="1:3" x14ac:dyDescent="0.25">
      <c r="A13580" t="str">
        <f>"0611840653100"</f>
        <v>0611840653100</v>
      </c>
      <c r="B13580" t="str">
        <f>"LK3101"</f>
        <v>LK3101</v>
      </c>
      <c r="C13580" t="s">
        <v>13371</v>
      </c>
    </row>
    <row r="13581" spans="1:3" x14ac:dyDescent="0.25">
      <c r="A13581" t="str">
        <f>"0611840654100"</f>
        <v>0611840654100</v>
      </c>
      <c r="B13581" t="str">
        <f>"LK1056"</f>
        <v>LK1056</v>
      </c>
      <c r="C13581" t="s">
        <v>13372</v>
      </c>
    </row>
    <row r="13582" spans="1:3" x14ac:dyDescent="0.25">
      <c r="A13582" t="str">
        <f>"0611840655100"</f>
        <v>0611840655100</v>
      </c>
      <c r="B13582" t="str">
        <f>"LK1057"</f>
        <v>LK1057</v>
      </c>
      <c r="C13582" t="s">
        <v>13373</v>
      </c>
    </row>
    <row r="13583" spans="1:3" x14ac:dyDescent="0.25">
      <c r="A13583" t="str">
        <f>"0611840668100"</f>
        <v>0611840668100</v>
      </c>
      <c r="B13583" t="str">
        <f>"LK5534"</f>
        <v>LK5534</v>
      </c>
      <c r="C13583" t="s">
        <v>13383</v>
      </c>
    </row>
    <row r="13584" spans="1:3" x14ac:dyDescent="0.25">
      <c r="A13584" t="str">
        <f>"0611840670100"</f>
        <v>0611840670100</v>
      </c>
      <c r="B13584" t="str">
        <f>"LK6673"</f>
        <v>LK6673</v>
      </c>
      <c r="C13584" t="s">
        <v>13386</v>
      </c>
    </row>
    <row r="13585" spans="1:3" x14ac:dyDescent="0.25">
      <c r="A13585" t="str">
        <f>"0611840672025"</f>
        <v>0611840672025</v>
      </c>
      <c r="B13585" t="str">
        <f>"MC1489"</f>
        <v>MC1489</v>
      </c>
      <c r="C13585" t="s">
        <v>13388</v>
      </c>
    </row>
    <row r="13586" spans="1:3" x14ac:dyDescent="0.25">
      <c r="A13586" t="str">
        <f>"0611840675100"</f>
        <v>0611840675100</v>
      </c>
      <c r="B13586" t="str">
        <f>"LB9576"</f>
        <v>LB9576</v>
      </c>
      <c r="C13586" t="s">
        <v>13390</v>
      </c>
    </row>
    <row r="13587" spans="1:3" x14ac:dyDescent="0.25">
      <c r="A13587" t="str">
        <f>"0611840677100"</f>
        <v>0611840677100</v>
      </c>
      <c r="B13587" t="str">
        <f>"LK6980"</f>
        <v>LK6980</v>
      </c>
      <c r="C13587" t="s">
        <v>13392</v>
      </c>
    </row>
    <row r="13588" spans="1:3" x14ac:dyDescent="0.25">
      <c r="A13588" t="str">
        <f>"0611840598100"</f>
        <v>0611840598100</v>
      </c>
      <c r="B13588" t="str">
        <f>"LK6185"</f>
        <v>LK6185</v>
      </c>
      <c r="C13588" t="s">
        <v>13328</v>
      </c>
    </row>
    <row r="13589" spans="1:3" x14ac:dyDescent="0.25">
      <c r="A13589" t="str">
        <f>"0611840605100"</f>
        <v>0611840605100</v>
      </c>
      <c r="B13589" t="str">
        <f>"LK4553"</f>
        <v>LK4553</v>
      </c>
      <c r="C13589" t="s">
        <v>13331</v>
      </c>
    </row>
    <row r="13590" spans="1:3" x14ac:dyDescent="0.25">
      <c r="A13590" t="str">
        <f>"0611840606100"</f>
        <v>0611840606100</v>
      </c>
      <c r="B13590" t="str">
        <f>"LK4729"</f>
        <v>LK4729</v>
      </c>
      <c r="C13590" t="s">
        <v>13332</v>
      </c>
    </row>
    <row r="13591" spans="1:3" x14ac:dyDescent="0.25">
      <c r="A13591" t="str">
        <f>"0611840611100"</f>
        <v>0611840611100</v>
      </c>
      <c r="B13591" t="str">
        <f>"LK5977"</f>
        <v>LK5977</v>
      </c>
      <c r="C13591" t="s">
        <v>13337</v>
      </c>
    </row>
    <row r="13592" spans="1:3" x14ac:dyDescent="0.25">
      <c r="A13592" t="str">
        <f>"0611840607100"</f>
        <v>0611840607100</v>
      </c>
      <c r="B13592" t="str">
        <f>"LK4554"</f>
        <v>LK4554</v>
      </c>
      <c r="C13592" t="s">
        <v>13336</v>
      </c>
    </row>
    <row r="13593" spans="1:3" x14ac:dyDescent="0.25">
      <c r="A13593" t="str">
        <f>"0611840614100"</f>
        <v>0611840614100</v>
      </c>
      <c r="B13593" t="str">
        <f>"LK6186"</f>
        <v>LK6186</v>
      </c>
      <c r="C13593" t="s">
        <v>13338</v>
      </c>
    </row>
    <row r="13594" spans="1:3" x14ac:dyDescent="0.25">
      <c r="A13594" t="str">
        <f>"0611840615100"</f>
        <v>0611840615100</v>
      </c>
      <c r="B13594" t="str">
        <f>"LK4721"</f>
        <v>LK4721</v>
      </c>
      <c r="C13594" t="s">
        <v>13339</v>
      </c>
    </row>
    <row r="13595" spans="1:3" x14ac:dyDescent="0.25">
      <c r="A13595" t="str">
        <f>"0611840612100"</f>
        <v>0611840612100</v>
      </c>
      <c r="B13595" t="str">
        <f>"LK4555"</f>
        <v>LK4555</v>
      </c>
      <c r="C13595" t="s">
        <v>13333</v>
      </c>
    </row>
    <row r="13596" spans="1:3" x14ac:dyDescent="0.25">
      <c r="A13596" t="str">
        <f>"0611840613100"</f>
        <v>0611840613100</v>
      </c>
      <c r="B13596" t="str">
        <f>"LK6310"</f>
        <v>LK6310</v>
      </c>
      <c r="C13596" t="s">
        <v>13334</v>
      </c>
    </row>
    <row r="13597" spans="1:3" x14ac:dyDescent="0.25">
      <c r="A13597" t="str">
        <f>"0611840619100"</f>
        <v>0611840619100</v>
      </c>
      <c r="B13597" t="str">
        <f>"LK4556"</f>
        <v>LK4556</v>
      </c>
      <c r="C13597" t="s">
        <v>13342</v>
      </c>
    </row>
    <row r="13598" spans="1:3" x14ac:dyDescent="0.25">
      <c r="A13598" t="str">
        <f>"0611840622100"</f>
        <v>0611840622100</v>
      </c>
      <c r="B13598" t="str">
        <f>"LB9582"</f>
        <v>LB9582</v>
      </c>
      <c r="C13598" t="s">
        <v>13343</v>
      </c>
    </row>
    <row r="13599" spans="1:3" x14ac:dyDescent="0.25">
      <c r="A13599" t="str">
        <f>"0611840623100"</f>
        <v>0611840623100</v>
      </c>
      <c r="B13599" t="str">
        <f>"LK6311"</f>
        <v>LK6311</v>
      </c>
      <c r="C13599" t="s">
        <v>13344</v>
      </c>
    </row>
    <row r="13600" spans="1:3" x14ac:dyDescent="0.25">
      <c r="A13600" t="str">
        <f>"0611840624100"</f>
        <v>0611840624100</v>
      </c>
      <c r="B13600" t="str">
        <f>"LK4911"</f>
        <v>LK4911</v>
      </c>
      <c r="C13600" t="s">
        <v>13345</v>
      </c>
    </row>
    <row r="13601" spans="1:3" x14ac:dyDescent="0.25">
      <c r="A13601" t="str">
        <f>"0611840626100"</f>
        <v>0611840626100</v>
      </c>
      <c r="B13601" t="str">
        <f>"LK4557"</f>
        <v>LK4557</v>
      </c>
      <c r="C13601" t="s">
        <v>13347</v>
      </c>
    </row>
    <row r="13602" spans="1:3" x14ac:dyDescent="0.25">
      <c r="A13602" t="str">
        <f>"0611840634100"</f>
        <v>0611840634100</v>
      </c>
      <c r="B13602" t="str">
        <f>"LK5979"</f>
        <v>LK5979</v>
      </c>
      <c r="C13602" t="s">
        <v>13352</v>
      </c>
    </row>
    <row r="13603" spans="1:3" x14ac:dyDescent="0.25">
      <c r="A13603" t="str">
        <f>"0611840635100"</f>
        <v>0611840635100</v>
      </c>
      <c r="B13603" t="str">
        <f>"LK5980"</f>
        <v>LK5980</v>
      </c>
      <c r="C13603" t="s">
        <v>13353</v>
      </c>
    </row>
    <row r="13604" spans="1:3" x14ac:dyDescent="0.25">
      <c r="A13604" t="str">
        <f>"0611840636100"</f>
        <v>0611840636100</v>
      </c>
      <c r="B13604" t="str">
        <f>"LK5981"</f>
        <v>LK5981</v>
      </c>
      <c r="C13604" t="s">
        <v>13354</v>
      </c>
    </row>
    <row r="13605" spans="1:3" x14ac:dyDescent="0.25">
      <c r="A13605" t="str">
        <f>"0611840637100"</f>
        <v>0611840637100</v>
      </c>
      <c r="B13605" t="str">
        <f>"LK5982"</f>
        <v>LK5982</v>
      </c>
      <c r="C13605" t="s">
        <v>13355</v>
      </c>
    </row>
    <row r="13606" spans="1:3" x14ac:dyDescent="0.25">
      <c r="A13606" t="str">
        <f>"0611840639100"</f>
        <v>0611840639100</v>
      </c>
      <c r="B13606" t="str">
        <f>"LK5983"</f>
        <v>LK5983</v>
      </c>
      <c r="C13606" t="s">
        <v>13359</v>
      </c>
    </row>
    <row r="13607" spans="1:3" x14ac:dyDescent="0.25">
      <c r="A13607" t="str">
        <f>"0611840629100"</f>
        <v>0611840629100</v>
      </c>
      <c r="B13607" t="str">
        <f>"LK6184"</f>
        <v>LK6184</v>
      </c>
      <c r="C13607" t="s">
        <v>13358</v>
      </c>
    </row>
    <row r="13608" spans="1:3" x14ac:dyDescent="0.25">
      <c r="A13608" t="str">
        <f>"0611840640100"</f>
        <v>0611840640100</v>
      </c>
      <c r="B13608" t="str">
        <f>"LK5985"</f>
        <v>LK5985</v>
      </c>
      <c r="C13608" t="s">
        <v>13360</v>
      </c>
    </row>
    <row r="13609" spans="1:3" x14ac:dyDescent="0.25">
      <c r="A13609" t="str">
        <f>"0611840645100"</f>
        <v>0611840645100</v>
      </c>
      <c r="B13609" t="str">
        <f>"LK5614"</f>
        <v>LK5614</v>
      </c>
      <c r="C13609" t="s">
        <v>13363</v>
      </c>
    </row>
    <row r="13610" spans="1:3" x14ac:dyDescent="0.25">
      <c r="A13610" t="str">
        <f>"0611840646100"</f>
        <v>0611840646100</v>
      </c>
      <c r="B13610" t="str">
        <f>"LK4558"</f>
        <v>LK4558</v>
      </c>
      <c r="C13610" t="s">
        <v>13364</v>
      </c>
    </row>
    <row r="13611" spans="1:3" x14ac:dyDescent="0.25">
      <c r="A13611" t="str">
        <f>"0611840647100"</f>
        <v>0611840647100</v>
      </c>
      <c r="B13611" t="str">
        <f>"LK5157"</f>
        <v>LK5157</v>
      </c>
      <c r="C13611" t="s">
        <v>13365</v>
      </c>
    </row>
    <row r="13612" spans="1:3" x14ac:dyDescent="0.25">
      <c r="A13612" t="str">
        <f>"0611840650100"</f>
        <v>0611840650100</v>
      </c>
      <c r="B13612" t="str">
        <f>"LK4560"</f>
        <v>LK4560</v>
      </c>
      <c r="C13612" t="s">
        <v>13368</v>
      </c>
    </row>
    <row r="13613" spans="1:3" x14ac:dyDescent="0.25">
      <c r="A13613" t="str">
        <f>"0611840651100"</f>
        <v>0611840651100</v>
      </c>
      <c r="B13613" t="str">
        <f>"LK5615"</f>
        <v>LK5615</v>
      </c>
      <c r="C13613" t="s">
        <v>13369</v>
      </c>
    </row>
    <row r="13614" spans="1:3" x14ac:dyDescent="0.25">
      <c r="A13614" t="str">
        <f>"0611840652100"</f>
        <v>0611840652100</v>
      </c>
      <c r="B13614" t="str">
        <f>"LK6672"</f>
        <v>LK6672</v>
      </c>
      <c r="C13614" t="s">
        <v>13370</v>
      </c>
    </row>
    <row r="13615" spans="1:3" x14ac:dyDescent="0.25">
      <c r="A13615" t="str">
        <f>"0611840656100"</f>
        <v>0611840656100</v>
      </c>
      <c r="B13615" t="str">
        <f>"LK4733"</f>
        <v>LK4733</v>
      </c>
      <c r="C13615" t="s">
        <v>13374</v>
      </c>
    </row>
    <row r="13616" spans="1:3" x14ac:dyDescent="0.25">
      <c r="A13616" t="str">
        <f>"0611840657100"</f>
        <v>0611840657100</v>
      </c>
      <c r="B13616" t="str">
        <f>"LK4722"</f>
        <v>LK4722</v>
      </c>
      <c r="C13616" t="s">
        <v>13375</v>
      </c>
    </row>
    <row r="13617" spans="1:3" x14ac:dyDescent="0.25">
      <c r="A13617" t="str">
        <f>"0611840660100"</f>
        <v>0611840660100</v>
      </c>
      <c r="B13617" t="str">
        <f>"LK5159"</f>
        <v>LK5159</v>
      </c>
      <c r="C13617" t="s">
        <v>13376</v>
      </c>
    </row>
    <row r="13618" spans="1:3" x14ac:dyDescent="0.25">
      <c r="A13618" t="str">
        <f>"0611840661100"</f>
        <v>0611840661100</v>
      </c>
      <c r="B13618" t="str">
        <f>"LK4910"</f>
        <v>LK4910</v>
      </c>
      <c r="C13618" t="s">
        <v>13377</v>
      </c>
    </row>
    <row r="13619" spans="1:3" x14ac:dyDescent="0.25">
      <c r="A13619" t="str">
        <f>"0611840663100"</f>
        <v>0611840663100</v>
      </c>
      <c r="B13619" t="str">
        <f>"LK5617"</f>
        <v>LK5617</v>
      </c>
      <c r="C13619" t="s">
        <v>13378</v>
      </c>
    </row>
    <row r="13620" spans="1:3" x14ac:dyDescent="0.25">
      <c r="A13620" t="str">
        <f>"0611840665100"</f>
        <v>0611840665100</v>
      </c>
      <c r="B13620" t="str">
        <f>"LK4723"</f>
        <v>LK4723</v>
      </c>
      <c r="C13620" t="s">
        <v>13380</v>
      </c>
    </row>
    <row r="13621" spans="1:3" x14ac:dyDescent="0.25">
      <c r="A13621" t="str">
        <f>"0611840664100"</f>
        <v>0611840664100</v>
      </c>
      <c r="B13621" t="str">
        <f>"LK4734"</f>
        <v>LK4734</v>
      </c>
      <c r="C13621" t="s">
        <v>13379</v>
      </c>
    </row>
    <row r="13622" spans="1:3" x14ac:dyDescent="0.25">
      <c r="A13622" t="str">
        <f>"0611840667100"</f>
        <v>0611840667100</v>
      </c>
      <c r="B13622" t="str">
        <f>"LK4912"</f>
        <v>LK4912</v>
      </c>
      <c r="C13622" t="s">
        <v>13382</v>
      </c>
    </row>
    <row r="13623" spans="1:3" x14ac:dyDescent="0.25">
      <c r="A13623" t="str">
        <f>"0611840666100"</f>
        <v>0611840666100</v>
      </c>
      <c r="B13623" t="str">
        <f>"LK6314"</f>
        <v>LK6314</v>
      </c>
      <c r="C13623" t="s">
        <v>13381</v>
      </c>
    </row>
    <row r="13624" spans="1:3" x14ac:dyDescent="0.25">
      <c r="A13624" t="str">
        <f>"0611857182100"</f>
        <v>0611857182100</v>
      </c>
      <c r="B13624" t="str">
        <f>"LK7116"</f>
        <v>LK7116</v>
      </c>
      <c r="C13624" t="s">
        <v>13384</v>
      </c>
    </row>
    <row r="13625" spans="1:3" x14ac:dyDescent="0.25">
      <c r="A13625" t="str">
        <f>"0611840669100"</f>
        <v>0611840669100</v>
      </c>
      <c r="B13625" t="str">
        <f>"LK6979"</f>
        <v>LK6979</v>
      </c>
      <c r="C13625" t="s">
        <v>13385</v>
      </c>
    </row>
    <row r="13626" spans="1:3" x14ac:dyDescent="0.25">
      <c r="A13626" t="str">
        <f>"0611840671100"</f>
        <v>0611840671100</v>
      </c>
      <c r="B13626" t="str">
        <f>"LK4562"</f>
        <v>LK4562</v>
      </c>
      <c r="C13626" t="s">
        <v>13387</v>
      </c>
    </row>
    <row r="13627" spans="1:3" x14ac:dyDescent="0.25">
      <c r="A13627" t="str">
        <f>"0611840673100"</f>
        <v>0611840673100</v>
      </c>
      <c r="B13627" t="str">
        <f>"LK6187"</f>
        <v>LK6187</v>
      </c>
      <c r="C13627" t="s">
        <v>13389</v>
      </c>
    </row>
    <row r="13628" spans="1:3" x14ac:dyDescent="0.25">
      <c r="A13628" t="str">
        <f>"0611840678100"</f>
        <v>0611840678100</v>
      </c>
      <c r="B13628" t="str">
        <f>"LK6315"</f>
        <v>LK6315</v>
      </c>
      <c r="C13628" t="s">
        <v>13393</v>
      </c>
    </row>
    <row r="13629" spans="1:3" x14ac:dyDescent="0.25">
      <c r="A13629" t="str">
        <f>"0611840679100"</f>
        <v>0611840679100</v>
      </c>
      <c r="B13629" t="str">
        <f>"LK4725"</f>
        <v>LK4725</v>
      </c>
      <c r="C13629" t="s">
        <v>13394</v>
      </c>
    </row>
    <row r="13630" spans="1:3" x14ac:dyDescent="0.25">
      <c r="A13630" t="str">
        <f>"0611840681100"</f>
        <v>0611840681100</v>
      </c>
      <c r="B13630" t="str">
        <f>"LK4726"</f>
        <v>LK4726</v>
      </c>
      <c r="C13630" t="s">
        <v>13396</v>
      </c>
    </row>
    <row r="13631" spans="1:3" x14ac:dyDescent="0.25">
      <c r="A13631" t="str">
        <f>"0611840680100"</f>
        <v>0611840680100</v>
      </c>
      <c r="B13631" t="str">
        <f>"LK5618"</f>
        <v>LK5618</v>
      </c>
      <c r="C13631" t="s">
        <v>13395</v>
      </c>
    </row>
    <row r="13632" spans="1:3" x14ac:dyDescent="0.25">
      <c r="A13632" t="str">
        <f>"0611840687100"</f>
        <v>0611840687100</v>
      </c>
      <c r="B13632" t="str">
        <f>"LK4735"</f>
        <v>LK4735</v>
      </c>
      <c r="C13632" t="s">
        <v>13402</v>
      </c>
    </row>
    <row r="13633" spans="1:3" x14ac:dyDescent="0.25">
      <c r="A13633" t="str">
        <f>"0611840682100"</f>
        <v>0611840682100</v>
      </c>
      <c r="B13633" t="str">
        <f>"LK4727"</f>
        <v>LK4727</v>
      </c>
      <c r="C13633" t="s">
        <v>13398</v>
      </c>
    </row>
    <row r="13634" spans="1:3" x14ac:dyDescent="0.25">
      <c r="A13634" t="str">
        <f>"0611840684100"</f>
        <v>0611840684100</v>
      </c>
      <c r="B13634" t="str">
        <f>"LK4728"</f>
        <v>LK4728</v>
      </c>
      <c r="C13634" t="s">
        <v>13400</v>
      </c>
    </row>
    <row r="13635" spans="1:3" x14ac:dyDescent="0.25">
      <c r="A13635" t="str">
        <f>"0611840676100"</f>
        <v>0611840676100</v>
      </c>
      <c r="B13635" t="str">
        <f>"LB9577"</f>
        <v>LB9577</v>
      </c>
      <c r="C13635" t="s">
        <v>13391</v>
      </c>
    </row>
    <row r="13636" spans="1:3" x14ac:dyDescent="0.25">
      <c r="A13636" t="str">
        <f>"0611906998100"</f>
        <v>0611906998100</v>
      </c>
      <c r="B13636" t="str">
        <f>"LK7233"</f>
        <v>LK7233</v>
      </c>
      <c r="C13636" t="s">
        <v>13397</v>
      </c>
    </row>
    <row r="13637" spans="1:3" x14ac:dyDescent="0.25">
      <c r="A13637" t="str">
        <f>"0611840683100"</f>
        <v>0611840683100</v>
      </c>
      <c r="B13637" t="str">
        <f>"LB9578"</f>
        <v>LB9578</v>
      </c>
      <c r="C13637" t="s">
        <v>13399</v>
      </c>
    </row>
    <row r="13638" spans="1:3" x14ac:dyDescent="0.25">
      <c r="A13638" t="str">
        <f>"0611840686100"</f>
        <v>0611840686100</v>
      </c>
      <c r="B13638" t="str">
        <f>"LK5986"</f>
        <v>LK5986</v>
      </c>
      <c r="C13638" t="s">
        <v>13401</v>
      </c>
    </row>
    <row r="13639" spans="1:3" x14ac:dyDescent="0.25">
      <c r="A13639" t="str">
        <f>"0611840688025"</f>
        <v>0611840688025</v>
      </c>
      <c r="B13639" t="str">
        <f>"MQ0136"</f>
        <v>MQ0136</v>
      </c>
      <c r="C13639" t="s">
        <v>13403</v>
      </c>
    </row>
    <row r="13640" spans="1:3" x14ac:dyDescent="0.25">
      <c r="A13640" t="str">
        <f>"0611840689100"</f>
        <v>0611840689100</v>
      </c>
      <c r="B13640" t="str">
        <f>"LK6188"</f>
        <v>LK6188</v>
      </c>
      <c r="C13640" t="s">
        <v>13404</v>
      </c>
    </row>
    <row r="13641" spans="1:3" x14ac:dyDescent="0.25">
      <c r="A13641" t="str">
        <f>"0611840690100"</f>
        <v>0611840690100</v>
      </c>
      <c r="B13641" t="str">
        <f>"LK6189"</f>
        <v>LK6189</v>
      </c>
      <c r="C13641" t="s">
        <v>13405</v>
      </c>
    </row>
    <row r="13642" spans="1:3" x14ac:dyDescent="0.25">
      <c r="A13642" t="str">
        <f>"0611840691100"</f>
        <v>0611840691100</v>
      </c>
      <c r="B13642" t="str">
        <f>"LK6190"</f>
        <v>LK6190</v>
      </c>
      <c r="C13642" t="s">
        <v>13406</v>
      </c>
    </row>
    <row r="13643" spans="1:3" x14ac:dyDescent="0.25">
      <c r="A13643" t="str">
        <f>"0611840692100"</f>
        <v>0611840692100</v>
      </c>
      <c r="B13643" t="str">
        <f>"LK0535"</f>
        <v>LK0535</v>
      </c>
      <c r="C13643" t="s">
        <v>13407</v>
      </c>
    </row>
    <row r="13644" spans="1:3" x14ac:dyDescent="0.25">
      <c r="A13644" t="str">
        <f>"0611840693100"</f>
        <v>0611840693100</v>
      </c>
      <c r="B13644" t="str">
        <f>"LK5299"</f>
        <v>LK5299</v>
      </c>
      <c r="C13644" t="s">
        <v>13408</v>
      </c>
    </row>
    <row r="13645" spans="1:3" x14ac:dyDescent="0.25">
      <c r="A13645" t="str">
        <f>"0611840694100"</f>
        <v>0611840694100</v>
      </c>
      <c r="B13645" t="str">
        <f>"LB0505"</f>
        <v>LB0505</v>
      </c>
      <c r="C13645" t="s">
        <v>13409</v>
      </c>
    </row>
    <row r="13646" spans="1:3" x14ac:dyDescent="0.25">
      <c r="A13646" t="str">
        <f>"0611840700100"</f>
        <v>0611840700100</v>
      </c>
      <c r="B13646" t="str">
        <f>"LS0124"</f>
        <v>LS0124</v>
      </c>
      <c r="C13646" t="s">
        <v>13321</v>
      </c>
    </row>
    <row r="13647" spans="1:3" x14ac:dyDescent="0.25">
      <c r="A13647" t="str">
        <f>"0611840699100"</f>
        <v>0611840699100</v>
      </c>
      <c r="B13647" t="str">
        <f>"MB9200"</f>
        <v>MB9200</v>
      </c>
      <c r="C13647" t="s">
        <v>13320</v>
      </c>
    </row>
    <row r="13648" spans="1:3" x14ac:dyDescent="0.25">
      <c r="A13648" t="str">
        <f>"0611840701025"</f>
        <v>0611840701025</v>
      </c>
      <c r="B13648" t="str">
        <f>"MC3820"</f>
        <v>MC3820</v>
      </c>
      <c r="C13648" t="s">
        <v>13413</v>
      </c>
    </row>
    <row r="13649" spans="1:3" x14ac:dyDescent="0.25">
      <c r="A13649" t="str">
        <f>"0611840702100"</f>
        <v>0611840702100</v>
      </c>
      <c r="B13649" t="str">
        <f>"LB6139"</f>
        <v>LB6139</v>
      </c>
      <c r="C13649" t="s">
        <v>13414</v>
      </c>
    </row>
    <row r="13650" spans="1:3" x14ac:dyDescent="0.25">
      <c r="A13650" t="str">
        <f>"0611840703100"</f>
        <v>0611840703100</v>
      </c>
      <c r="B13650" t="str">
        <f>"LS0098"</f>
        <v>LS0098</v>
      </c>
      <c r="C13650" t="s">
        <v>13421</v>
      </c>
    </row>
    <row r="13651" spans="1:3" x14ac:dyDescent="0.25">
      <c r="A13651" t="str">
        <f>"0611840711100"</f>
        <v>0611840711100</v>
      </c>
      <c r="B13651" t="str">
        <f>"LB9391"</f>
        <v>LB9391</v>
      </c>
      <c r="C13651" t="s">
        <v>13420</v>
      </c>
    </row>
    <row r="13652" spans="1:3" x14ac:dyDescent="0.25">
      <c r="A13652" t="str">
        <f>"0611840704100"</f>
        <v>0611840704100</v>
      </c>
      <c r="B13652" t="str">
        <f>"LS0099"</f>
        <v>LS0099</v>
      </c>
      <c r="C13652" t="s">
        <v>13422</v>
      </c>
    </row>
    <row r="13653" spans="1:3" x14ac:dyDescent="0.25">
      <c r="A13653" t="str">
        <f>"0611840724100"</f>
        <v>0611840724100</v>
      </c>
      <c r="B13653" t="str">
        <f>"LS0100"</f>
        <v>LS0100</v>
      </c>
      <c r="C13653" t="s">
        <v>13427</v>
      </c>
    </row>
    <row r="13654" spans="1:3" x14ac:dyDescent="0.25">
      <c r="A13654" t="str">
        <f>"0611840725100"</f>
        <v>0611840725100</v>
      </c>
      <c r="B13654" t="str">
        <f>"LB9392"</f>
        <v>LB9392</v>
      </c>
      <c r="C13654" t="s">
        <v>13426</v>
      </c>
    </row>
    <row r="13655" spans="1:3" x14ac:dyDescent="0.25">
      <c r="A13655" t="str">
        <f>"0611840723100"</f>
        <v>0611840723100</v>
      </c>
      <c r="B13655" t="str">
        <f>"LS0101"</f>
        <v>LS0101</v>
      </c>
      <c r="C13655" t="s">
        <v>13428</v>
      </c>
    </row>
    <row r="13656" spans="1:3" x14ac:dyDescent="0.25">
      <c r="A13656" t="str">
        <f>"0611840727025"</f>
        <v>0611840727025</v>
      </c>
      <c r="B13656" t="str">
        <f>"MC4259"</f>
        <v>MC4259</v>
      </c>
      <c r="C13656" t="s">
        <v>13429</v>
      </c>
    </row>
    <row r="13657" spans="1:3" x14ac:dyDescent="0.25">
      <c r="A13657" t="str">
        <f>"0611833073100"</f>
        <v>0611833073100</v>
      </c>
      <c r="B13657" t="str">
        <f>"LL8010"</f>
        <v>LL8010</v>
      </c>
      <c r="C13657" t="s">
        <v>13430</v>
      </c>
    </row>
    <row r="13658" spans="1:3" x14ac:dyDescent="0.25">
      <c r="A13658" t="str">
        <f>"0611833074100"</f>
        <v>0611833074100</v>
      </c>
      <c r="B13658" t="str">
        <f>"LL0055"</f>
        <v>LL0055</v>
      </c>
      <c r="C13658" t="s">
        <v>13431</v>
      </c>
    </row>
    <row r="13659" spans="1:3" x14ac:dyDescent="0.25">
      <c r="A13659" t="str">
        <f>"0611857183100"</f>
        <v>0611857183100</v>
      </c>
      <c r="B13659" t="str">
        <f>"LL5051"</f>
        <v>LL5051</v>
      </c>
      <c r="C13659" t="s">
        <v>13432</v>
      </c>
    </row>
    <row r="13660" spans="1:3" x14ac:dyDescent="0.25">
      <c r="A13660" t="str">
        <f>"0611833075100"</f>
        <v>0611833075100</v>
      </c>
      <c r="B13660" t="str">
        <f>"LL8067"</f>
        <v>LL8067</v>
      </c>
      <c r="C13660" t="s">
        <v>13433</v>
      </c>
    </row>
    <row r="13661" spans="1:3" x14ac:dyDescent="0.25">
      <c r="A13661" t="str">
        <f>"0611833077100"</f>
        <v>0611833077100</v>
      </c>
      <c r="B13661" t="str">
        <f>"LL2615"</f>
        <v>LL2615</v>
      </c>
      <c r="C13661" t="s">
        <v>13434</v>
      </c>
    </row>
    <row r="13662" spans="1:3" x14ac:dyDescent="0.25">
      <c r="A13662" t="str">
        <f>"0611833078200"</f>
        <v>0611833078200</v>
      </c>
      <c r="B13662" t="str">
        <f>"KY2615"</f>
        <v>KY2615</v>
      </c>
      <c r="C13662" t="s">
        <v>13435</v>
      </c>
    </row>
    <row r="13663" spans="1:3" x14ac:dyDescent="0.25">
      <c r="A13663" t="str">
        <f>"0611833080100"</f>
        <v>0611833080100</v>
      </c>
      <c r="B13663" t="str">
        <f>"LL8068"</f>
        <v>LL8068</v>
      </c>
      <c r="C13663" t="s">
        <v>13436</v>
      </c>
    </row>
    <row r="13664" spans="1:3" x14ac:dyDescent="0.25">
      <c r="A13664" t="str">
        <f>"0611833094100"</f>
        <v>0611833094100</v>
      </c>
      <c r="B13664" t="str">
        <f>"LL2600"</f>
        <v>LL2600</v>
      </c>
      <c r="C13664" t="s">
        <v>13437</v>
      </c>
    </row>
    <row r="13665" spans="1:3" x14ac:dyDescent="0.25">
      <c r="A13665" t="str">
        <f>"0611833081100"</f>
        <v>0611833081100</v>
      </c>
      <c r="B13665" t="str">
        <f>"LL2625"</f>
        <v>LL2625</v>
      </c>
      <c r="C13665" t="s">
        <v>13438</v>
      </c>
    </row>
    <row r="13666" spans="1:3" x14ac:dyDescent="0.25">
      <c r="A13666" t="str">
        <f>"0611833082100"</f>
        <v>0611833082100</v>
      </c>
      <c r="B13666" t="str">
        <f>"LL0102"</f>
        <v>LL0102</v>
      </c>
      <c r="C13666" t="s">
        <v>13439</v>
      </c>
    </row>
    <row r="13667" spans="1:3" x14ac:dyDescent="0.25">
      <c r="A13667" t="str">
        <f>"0611833083100"</f>
        <v>0611833083100</v>
      </c>
      <c r="B13667" t="str">
        <f>"LL8335"</f>
        <v>LL8335</v>
      </c>
      <c r="C13667" t="s">
        <v>13440</v>
      </c>
    </row>
    <row r="13668" spans="1:3" x14ac:dyDescent="0.25">
      <c r="A13668" t="str">
        <f>"0611833084100"</f>
        <v>0611833084100</v>
      </c>
      <c r="B13668" t="str">
        <f>"LL8036"</f>
        <v>LL8036</v>
      </c>
      <c r="C13668" t="s">
        <v>13441</v>
      </c>
    </row>
    <row r="13669" spans="1:3" x14ac:dyDescent="0.25">
      <c r="A13669" t="str">
        <f>"0611833085100"</f>
        <v>0611833085100</v>
      </c>
      <c r="B13669" t="str">
        <f>"LL0146"</f>
        <v>LL0146</v>
      </c>
      <c r="C13669" t="s">
        <v>13442</v>
      </c>
    </row>
    <row r="13670" spans="1:3" x14ac:dyDescent="0.25">
      <c r="A13670" t="str">
        <f>"0611884097100"</f>
        <v>0611884097100</v>
      </c>
      <c r="B13670" t="str">
        <f>"LL5065"</f>
        <v>LL5065</v>
      </c>
      <c r="C13670" t="s">
        <v>2758</v>
      </c>
    </row>
    <row r="13671" spans="1:3" x14ac:dyDescent="0.25">
      <c r="A13671" t="str">
        <f>"0611833087100"</f>
        <v>0611833087100</v>
      </c>
      <c r="B13671" t="str">
        <f>"LL2641"</f>
        <v>LL2641</v>
      </c>
      <c r="C13671" t="s">
        <v>13443</v>
      </c>
    </row>
    <row r="13672" spans="1:3" x14ac:dyDescent="0.25">
      <c r="A13672" t="str">
        <f>"0611833088100"</f>
        <v>0611833088100</v>
      </c>
      <c r="B13672" t="str">
        <f>"LL0900"</f>
        <v>LL0900</v>
      </c>
      <c r="C13672" t="s">
        <v>13444</v>
      </c>
    </row>
    <row r="13673" spans="1:3" x14ac:dyDescent="0.25">
      <c r="A13673" t="str">
        <f>"0611833089100"</f>
        <v>0611833089100</v>
      </c>
      <c r="B13673" t="str">
        <f>"LL8044"</f>
        <v>LL8044</v>
      </c>
      <c r="C13673" t="s">
        <v>13445</v>
      </c>
    </row>
    <row r="13674" spans="1:3" x14ac:dyDescent="0.25">
      <c r="A13674" t="str">
        <f>"0611833090100"</f>
        <v>0611833090100</v>
      </c>
      <c r="B13674" t="str">
        <f>"LL2640"</f>
        <v>LL2640</v>
      </c>
      <c r="C13674" t="s">
        <v>13446</v>
      </c>
    </row>
    <row r="13675" spans="1:3" x14ac:dyDescent="0.25">
      <c r="A13675" t="str">
        <f>"0611833091100"</f>
        <v>0611833091100</v>
      </c>
      <c r="B13675" t="str">
        <f>"LL2647"</f>
        <v>LL2647</v>
      </c>
      <c r="C13675" t="s">
        <v>13447</v>
      </c>
    </row>
    <row r="13676" spans="1:3" x14ac:dyDescent="0.25">
      <c r="A13676" t="str">
        <f>"0611833092100"</f>
        <v>0611833092100</v>
      </c>
      <c r="B13676" t="str">
        <f>"LL4877"</f>
        <v>LL4877</v>
      </c>
      <c r="C13676" t="s">
        <v>13448</v>
      </c>
    </row>
    <row r="13677" spans="1:3" x14ac:dyDescent="0.25">
      <c r="A13677" t="str">
        <f>"0611833095100"</f>
        <v>0611833095100</v>
      </c>
      <c r="B13677" t="str">
        <f>"LL8069"</f>
        <v>LL8069</v>
      </c>
      <c r="C13677" t="s">
        <v>13449</v>
      </c>
    </row>
    <row r="13678" spans="1:3" x14ac:dyDescent="0.25">
      <c r="A13678" t="str">
        <f>"0611833096100"</f>
        <v>0611833096100</v>
      </c>
      <c r="B13678" t="str">
        <f>"LL8002"</f>
        <v>LL8002</v>
      </c>
      <c r="C13678" t="s">
        <v>13450</v>
      </c>
    </row>
    <row r="13679" spans="1:3" x14ac:dyDescent="0.25">
      <c r="A13679" t="str">
        <f>"0611840729100"</f>
        <v>0611840729100</v>
      </c>
      <c r="B13679" t="str">
        <f>"LK1060"</f>
        <v>LK1060</v>
      </c>
      <c r="C13679" t="s">
        <v>13451</v>
      </c>
    </row>
    <row r="13680" spans="1:3" x14ac:dyDescent="0.25">
      <c r="A13680" t="str">
        <f>"0611864325050"</f>
        <v>0611864325050</v>
      </c>
      <c r="B13680" t="str">
        <f>"CR4907"</f>
        <v>CR4907</v>
      </c>
      <c r="C13680" t="s">
        <v>13452</v>
      </c>
    </row>
    <row r="13681" spans="1:3" x14ac:dyDescent="0.25">
      <c r="A13681" t="str">
        <f>"0611839087100"</f>
        <v>0611839087100</v>
      </c>
      <c r="B13681" t="str">
        <f>"LC9190"</f>
        <v>LC9190</v>
      </c>
      <c r="C13681" t="s">
        <v>13453</v>
      </c>
    </row>
    <row r="13682" spans="1:3" x14ac:dyDescent="0.25">
      <c r="A13682" t="str">
        <f>"0611840730025"</f>
        <v>0611840730025</v>
      </c>
      <c r="B13682" t="str">
        <f>"MQ0746"</f>
        <v>MQ0746</v>
      </c>
      <c r="C13682" t="s">
        <v>13454</v>
      </c>
    </row>
    <row r="13683" spans="1:3" x14ac:dyDescent="0.25">
      <c r="A13683" t="str">
        <f>"0611840731025"</f>
        <v>0611840731025</v>
      </c>
      <c r="B13683" t="str">
        <f>"MQ0747"</f>
        <v>MQ0747</v>
      </c>
      <c r="C13683" t="s">
        <v>13455</v>
      </c>
    </row>
    <row r="13684" spans="1:3" x14ac:dyDescent="0.25">
      <c r="A13684" t="str">
        <f>"0611884518100"</f>
        <v>0611884518100</v>
      </c>
      <c r="B13684" t="str">
        <f>"LF9105"</f>
        <v>LF9105</v>
      </c>
      <c r="C13684" t="s">
        <v>13456</v>
      </c>
    </row>
    <row r="13685" spans="1:3" x14ac:dyDescent="0.25">
      <c r="A13685" t="str">
        <f>"0611884519050"</f>
        <v>0611884519050</v>
      </c>
      <c r="B13685" t="str">
        <f>"CR5262"</f>
        <v>CR5262</v>
      </c>
      <c r="C13685" t="s">
        <v>13463</v>
      </c>
    </row>
    <row r="13686" spans="1:3" x14ac:dyDescent="0.25">
      <c r="A13686" t="str">
        <f>"0611884520050"</f>
        <v>0611884520050</v>
      </c>
      <c r="B13686" t="str">
        <f>"CR5263"</f>
        <v>CR5263</v>
      </c>
      <c r="C13686" t="s">
        <v>13466</v>
      </c>
    </row>
    <row r="13687" spans="1:3" x14ac:dyDescent="0.25">
      <c r="A13687" t="str">
        <f>"0611884521050"</f>
        <v>0611884521050</v>
      </c>
      <c r="B13687" t="str">
        <f>"CR5082"</f>
        <v>CR5082</v>
      </c>
      <c r="C13687" t="s">
        <v>13467</v>
      </c>
    </row>
    <row r="13688" spans="1:3" x14ac:dyDescent="0.25">
      <c r="A13688" t="str">
        <f>"0611884522050"</f>
        <v>0611884522050</v>
      </c>
      <c r="B13688" t="str">
        <f>"CR5084"</f>
        <v>CR5084</v>
      </c>
      <c r="C13688" t="s">
        <v>13470</v>
      </c>
    </row>
    <row r="13689" spans="1:3" x14ac:dyDescent="0.25">
      <c r="A13689" t="str">
        <f>"0611884523050"</f>
        <v>0611884523050</v>
      </c>
      <c r="B13689" t="str">
        <f>"CR5097"</f>
        <v>CR5097</v>
      </c>
      <c r="C13689" t="s">
        <v>13500</v>
      </c>
    </row>
    <row r="13690" spans="1:3" x14ac:dyDescent="0.25">
      <c r="A13690" t="str">
        <f>"0611893678050"</f>
        <v>0611893678050</v>
      </c>
      <c r="B13690" t="str">
        <f>"CR5438"</f>
        <v>CR5438</v>
      </c>
      <c r="C13690" t="s">
        <v>13515</v>
      </c>
    </row>
    <row r="13691" spans="1:3" x14ac:dyDescent="0.25">
      <c r="A13691" t="str">
        <f>"0611884524050"</f>
        <v>0611884524050</v>
      </c>
      <c r="B13691" t="str">
        <f>"CR5265"</f>
        <v>CR5265</v>
      </c>
      <c r="C13691" t="s">
        <v>13523</v>
      </c>
    </row>
    <row r="13692" spans="1:3" x14ac:dyDescent="0.25">
      <c r="A13692" t="str">
        <f>"0611860942050"</f>
        <v>0611860942050</v>
      </c>
      <c r="B13692" t="str">
        <f>"CR4772"</f>
        <v>CR4772</v>
      </c>
      <c r="C13692" t="s">
        <v>13457</v>
      </c>
    </row>
    <row r="13693" spans="1:3" x14ac:dyDescent="0.25">
      <c r="A13693" t="str">
        <f>"0611860943050"</f>
        <v>0611860943050</v>
      </c>
      <c r="B13693" t="str">
        <f>"CR4634"</f>
        <v>CR4634</v>
      </c>
      <c r="C13693" t="s">
        <v>13458</v>
      </c>
    </row>
    <row r="13694" spans="1:3" x14ac:dyDescent="0.25">
      <c r="A13694" t="str">
        <f>"0611860944050"</f>
        <v>0611860944050</v>
      </c>
      <c r="B13694" t="str">
        <f>"CR5079"</f>
        <v>CR5079</v>
      </c>
      <c r="C13694" t="s">
        <v>13459</v>
      </c>
    </row>
    <row r="13695" spans="1:3" x14ac:dyDescent="0.25">
      <c r="A13695" t="str">
        <f>"0611860945050"</f>
        <v>0611860945050</v>
      </c>
      <c r="B13695" t="str">
        <f>"CR4657"</f>
        <v>CR4657</v>
      </c>
      <c r="C13695" t="s">
        <v>13460</v>
      </c>
    </row>
    <row r="13696" spans="1:3" x14ac:dyDescent="0.25">
      <c r="A13696" t="str">
        <f>"0611860946050"</f>
        <v>0611860946050</v>
      </c>
      <c r="B13696" t="str">
        <f>"CR4658"</f>
        <v>CR4658</v>
      </c>
      <c r="C13696" t="s">
        <v>13461</v>
      </c>
    </row>
    <row r="13697" spans="1:3" x14ac:dyDescent="0.25">
      <c r="A13697" t="str">
        <f>"0611860948050"</f>
        <v>0611860948050</v>
      </c>
      <c r="B13697" t="str">
        <f>"CR4659"</f>
        <v>CR4659</v>
      </c>
      <c r="C13697" t="s">
        <v>13462</v>
      </c>
    </row>
    <row r="13698" spans="1:3" x14ac:dyDescent="0.25">
      <c r="A13698" t="str">
        <f>"0611860949050"</f>
        <v>0611860949050</v>
      </c>
      <c r="B13698" t="str">
        <f>"CR4660"</f>
        <v>CR4660</v>
      </c>
      <c r="C13698" t="s">
        <v>13464</v>
      </c>
    </row>
    <row r="13699" spans="1:3" x14ac:dyDescent="0.25">
      <c r="A13699" t="str">
        <f>"0611860950050"</f>
        <v>0611860950050</v>
      </c>
      <c r="B13699" t="str">
        <f>"CR4636"</f>
        <v>CR4636</v>
      </c>
      <c r="C13699" t="s">
        <v>13465</v>
      </c>
    </row>
    <row r="13700" spans="1:3" x14ac:dyDescent="0.25">
      <c r="A13700" t="str">
        <f>"0611860952050"</f>
        <v>0611860952050</v>
      </c>
      <c r="B13700" t="str">
        <f>"CR4664"</f>
        <v>CR4664</v>
      </c>
      <c r="C13700" t="s">
        <v>13468</v>
      </c>
    </row>
    <row r="13701" spans="1:3" x14ac:dyDescent="0.25">
      <c r="A13701" t="str">
        <f>"0611860953050"</f>
        <v>0611860953050</v>
      </c>
      <c r="B13701" t="str">
        <f>"CR5083"</f>
        <v>CR5083</v>
      </c>
      <c r="C13701" t="s">
        <v>13469</v>
      </c>
    </row>
    <row r="13702" spans="1:3" x14ac:dyDescent="0.25">
      <c r="A13702" t="str">
        <f>"0611860954050"</f>
        <v>0611860954050</v>
      </c>
      <c r="B13702" t="str">
        <f>"CR4666"</f>
        <v>CR4666</v>
      </c>
      <c r="C13702" t="s">
        <v>13471</v>
      </c>
    </row>
    <row r="13703" spans="1:3" x14ac:dyDescent="0.25">
      <c r="A13703" t="str">
        <f>"0611860955050"</f>
        <v>0611860955050</v>
      </c>
      <c r="B13703" t="str">
        <f>"CR4637"</f>
        <v>CR4637</v>
      </c>
      <c r="C13703" t="s">
        <v>13472</v>
      </c>
    </row>
    <row r="13704" spans="1:3" x14ac:dyDescent="0.25">
      <c r="A13704" t="str">
        <f>"0611860956050"</f>
        <v>0611860956050</v>
      </c>
      <c r="B13704" t="str">
        <f>"CR4638"</f>
        <v>CR4638</v>
      </c>
      <c r="C13704" t="s">
        <v>13473</v>
      </c>
    </row>
    <row r="13705" spans="1:3" x14ac:dyDescent="0.25">
      <c r="A13705" t="str">
        <f>"0611860957050"</f>
        <v>0611860957050</v>
      </c>
      <c r="B13705" t="str">
        <f>"CR5085"</f>
        <v>CR5085</v>
      </c>
      <c r="C13705" t="s">
        <v>13474</v>
      </c>
    </row>
    <row r="13706" spans="1:3" x14ac:dyDescent="0.25">
      <c r="A13706" t="str">
        <f>"0611860958050"</f>
        <v>0611860958050</v>
      </c>
      <c r="B13706" t="str">
        <f>"CR5086"</f>
        <v>CR5086</v>
      </c>
      <c r="C13706" t="s">
        <v>13475</v>
      </c>
    </row>
    <row r="13707" spans="1:3" x14ac:dyDescent="0.25">
      <c r="A13707" t="str">
        <f>"0611860959050"</f>
        <v>0611860959050</v>
      </c>
      <c r="B13707" t="str">
        <f>"CR4667"</f>
        <v>CR4667</v>
      </c>
      <c r="C13707" t="s">
        <v>13476</v>
      </c>
    </row>
    <row r="13708" spans="1:3" x14ac:dyDescent="0.25">
      <c r="A13708" t="str">
        <f>"0611860960050"</f>
        <v>0611860960050</v>
      </c>
      <c r="B13708" t="str">
        <f>"CR5087"</f>
        <v>CR5087</v>
      </c>
      <c r="C13708" t="s">
        <v>13477</v>
      </c>
    </row>
    <row r="13709" spans="1:3" x14ac:dyDescent="0.25">
      <c r="A13709" t="str">
        <f>"0611860961050"</f>
        <v>0611860961050</v>
      </c>
      <c r="B13709" t="str">
        <f>"CR5088"</f>
        <v>CR5088</v>
      </c>
      <c r="C13709" t="s">
        <v>13478</v>
      </c>
    </row>
    <row r="13710" spans="1:3" x14ac:dyDescent="0.25">
      <c r="A13710" t="str">
        <f>"0611860962050"</f>
        <v>0611860962050</v>
      </c>
      <c r="B13710" t="str">
        <f>"CR4669"</f>
        <v>CR4669</v>
      </c>
      <c r="C13710" t="s">
        <v>13479</v>
      </c>
    </row>
    <row r="13711" spans="1:3" x14ac:dyDescent="0.25">
      <c r="A13711" t="str">
        <f>"0611860964050"</f>
        <v>0611860964050</v>
      </c>
      <c r="B13711" t="str">
        <f>"CR4671"</f>
        <v>CR4671</v>
      </c>
      <c r="C13711" t="s">
        <v>13480</v>
      </c>
    </row>
    <row r="13712" spans="1:3" x14ac:dyDescent="0.25">
      <c r="A13712" t="str">
        <f>"0611860965050"</f>
        <v>0611860965050</v>
      </c>
      <c r="B13712" t="str">
        <f>"CR4672"</f>
        <v>CR4672</v>
      </c>
      <c r="C13712" t="s">
        <v>13481</v>
      </c>
    </row>
    <row r="13713" spans="1:3" x14ac:dyDescent="0.25">
      <c r="A13713" t="str">
        <f>"0611860966050"</f>
        <v>0611860966050</v>
      </c>
      <c r="B13713" t="str">
        <f>"CR5089"</f>
        <v>CR5089</v>
      </c>
      <c r="C13713" t="s">
        <v>13482</v>
      </c>
    </row>
    <row r="13714" spans="1:3" x14ac:dyDescent="0.25">
      <c r="A13714" t="str">
        <f>"0611860967050"</f>
        <v>0611860967050</v>
      </c>
      <c r="B13714" t="str">
        <f>"CR4673"</f>
        <v>CR4673</v>
      </c>
      <c r="C13714" t="s">
        <v>13483</v>
      </c>
    </row>
    <row r="13715" spans="1:3" x14ac:dyDescent="0.25">
      <c r="A13715" t="str">
        <f>"0611860968050"</f>
        <v>0611860968050</v>
      </c>
      <c r="B13715" t="str">
        <f>"CR4674"</f>
        <v>CR4674</v>
      </c>
      <c r="C13715" t="s">
        <v>13484</v>
      </c>
    </row>
    <row r="13716" spans="1:3" x14ac:dyDescent="0.25">
      <c r="A13716" t="str">
        <f>"0611860969050"</f>
        <v>0611860969050</v>
      </c>
      <c r="B13716" t="str">
        <f>"CR5090"</f>
        <v>CR5090</v>
      </c>
      <c r="C13716" t="s">
        <v>13485</v>
      </c>
    </row>
    <row r="13717" spans="1:3" x14ac:dyDescent="0.25">
      <c r="A13717" t="str">
        <f>"0611860970050"</f>
        <v>0611860970050</v>
      </c>
      <c r="B13717" t="str">
        <f>"CR5091"</f>
        <v>CR5091</v>
      </c>
      <c r="C13717" t="s">
        <v>13486</v>
      </c>
    </row>
    <row r="13718" spans="1:3" x14ac:dyDescent="0.25">
      <c r="A13718" t="str">
        <f>"0611860971050"</f>
        <v>0611860971050</v>
      </c>
      <c r="B13718" t="str">
        <f>"CR4675"</f>
        <v>CR4675</v>
      </c>
      <c r="C13718" t="s">
        <v>13487</v>
      </c>
    </row>
    <row r="13719" spans="1:3" x14ac:dyDescent="0.25">
      <c r="A13719" t="str">
        <f>"0611860972050"</f>
        <v>0611860972050</v>
      </c>
      <c r="B13719" t="str">
        <f>"CR4676"</f>
        <v>CR4676</v>
      </c>
      <c r="C13719" t="s">
        <v>13488</v>
      </c>
    </row>
    <row r="13720" spans="1:3" x14ac:dyDescent="0.25">
      <c r="A13720" t="str">
        <f>"0611860973050"</f>
        <v>0611860973050</v>
      </c>
      <c r="B13720" t="str">
        <f>"CR4677"</f>
        <v>CR4677</v>
      </c>
      <c r="C13720" t="s">
        <v>13489</v>
      </c>
    </row>
    <row r="13721" spans="1:3" x14ac:dyDescent="0.25">
      <c r="A13721" t="str">
        <f>"0611860974050"</f>
        <v>0611860974050</v>
      </c>
      <c r="B13721" t="str">
        <f>"CR4678"</f>
        <v>CR4678</v>
      </c>
      <c r="C13721" t="s">
        <v>13490</v>
      </c>
    </row>
    <row r="13722" spans="1:3" x14ac:dyDescent="0.25">
      <c r="A13722" t="str">
        <f>"0611860975050"</f>
        <v>0611860975050</v>
      </c>
      <c r="B13722" t="str">
        <f>"CR4639"</f>
        <v>CR4639</v>
      </c>
      <c r="C13722" t="s">
        <v>13491</v>
      </c>
    </row>
    <row r="13723" spans="1:3" x14ac:dyDescent="0.25">
      <c r="A13723" t="str">
        <f>"0611860976050"</f>
        <v>0611860976050</v>
      </c>
      <c r="B13723" t="str">
        <f>"CR4640"</f>
        <v>CR4640</v>
      </c>
      <c r="C13723" t="s">
        <v>13492</v>
      </c>
    </row>
    <row r="13724" spans="1:3" x14ac:dyDescent="0.25">
      <c r="A13724" t="str">
        <f>"0611860977050"</f>
        <v>0611860977050</v>
      </c>
      <c r="B13724" t="str">
        <f>"CR4679"</f>
        <v>CR4679</v>
      </c>
      <c r="C13724" t="s">
        <v>13493</v>
      </c>
    </row>
    <row r="13725" spans="1:3" x14ac:dyDescent="0.25">
      <c r="A13725" t="str">
        <f>"0611860978050"</f>
        <v>0611860978050</v>
      </c>
      <c r="B13725" t="str">
        <f>"CR5094"</f>
        <v>CR5094</v>
      </c>
      <c r="C13725" t="s">
        <v>13494</v>
      </c>
    </row>
    <row r="13726" spans="1:3" x14ac:dyDescent="0.25">
      <c r="A13726" t="str">
        <f>"0611860979050"</f>
        <v>0611860979050</v>
      </c>
      <c r="B13726" t="str">
        <f>"CR4681"</f>
        <v>CR4681</v>
      </c>
      <c r="C13726" t="s">
        <v>13495</v>
      </c>
    </row>
    <row r="13727" spans="1:3" x14ac:dyDescent="0.25">
      <c r="A13727" t="str">
        <f>"0611860980050"</f>
        <v>0611860980050</v>
      </c>
      <c r="B13727" t="str">
        <f>"CR4682"</f>
        <v>CR4682</v>
      </c>
      <c r="C13727" t="s">
        <v>13496</v>
      </c>
    </row>
    <row r="13728" spans="1:3" x14ac:dyDescent="0.25">
      <c r="A13728" t="str">
        <f>"0611860981050"</f>
        <v>0611860981050</v>
      </c>
      <c r="B13728" t="str">
        <f>"CR4683"</f>
        <v>CR4683</v>
      </c>
      <c r="C13728" t="s">
        <v>13497</v>
      </c>
    </row>
    <row r="13729" spans="1:3" x14ac:dyDescent="0.25">
      <c r="A13729" t="str">
        <f>"0611860982050"</f>
        <v>0611860982050</v>
      </c>
      <c r="B13729" t="str">
        <f>"CR4684"</f>
        <v>CR4684</v>
      </c>
      <c r="C13729" t="s">
        <v>13498</v>
      </c>
    </row>
    <row r="13730" spans="1:3" x14ac:dyDescent="0.25">
      <c r="A13730" t="str">
        <f>"0611860983050"</f>
        <v>0611860983050</v>
      </c>
      <c r="B13730" t="str">
        <f>"CR5096"</f>
        <v>CR5096</v>
      </c>
      <c r="C13730" t="s">
        <v>13499</v>
      </c>
    </row>
    <row r="13731" spans="1:3" x14ac:dyDescent="0.25">
      <c r="A13731" t="str">
        <f>"0611860984050"</f>
        <v>0611860984050</v>
      </c>
      <c r="B13731" t="str">
        <f>"CR4685"</f>
        <v>CR4685</v>
      </c>
      <c r="C13731" t="s">
        <v>13501</v>
      </c>
    </row>
    <row r="13732" spans="1:3" x14ac:dyDescent="0.25">
      <c r="A13732" t="str">
        <f>"0611860985050"</f>
        <v>0611860985050</v>
      </c>
      <c r="B13732" t="str">
        <f>"CR4686"</f>
        <v>CR4686</v>
      </c>
      <c r="C13732" t="s">
        <v>13502</v>
      </c>
    </row>
    <row r="13733" spans="1:3" x14ac:dyDescent="0.25">
      <c r="A13733" t="str">
        <f>"0611860986050"</f>
        <v>0611860986050</v>
      </c>
      <c r="B13733" t="str">
        <f>"CR4687"</f>
        <v>CR4687</v>
      </c>
      <c r="C13733" t="s">
        <v>13503</v>
      </c>
    </row>
    <row r="13734" spans="1:3" x14ac:dyDescent="0.25">
      <c r="A13734" t="str">
        <f>"0611860987050"</f>
        <v>0611860987050</v>
      </c>
      <c r="B13734" t="str">
        <f>"CR4688"</f>
        <v>CR4688</v>
      </c>
      <c r="C13734" t="s">
        <v>13504</v>
      </c>
    </row>
    <row r="13735" spans="1:3" x14ac:dyDescent="0.25">
      <c r="A13735" t="str">
        <f>"0611860988050"</f>
        <v>0611860988050</v>
      </c>
      <c r="B13735" t="str">
        <f>"CR4769"</f>
        <v>CR4769</v>
      </c>
      <c r="C13735" t="s">
        <v>13505</v>
      </c>
    </row>
    <row r="13736" spans="1:3" x14ac:dyDescent="0.25">
      <c r="A13736" t="str">
        <f>"0611860989050"</f>
        <v>0611860989050</v>
      </c>
      <c r="B13736" t="str">
        <f>"CR4690"</f>
        <v>CR4690</v>
      </c>
      <c r="C13736" t="s">
        <v>13508</v>
      </c>
    </row>
    <row r="13737" spans="1:3" x14ac:dyDescent="0.25">
      <c r="A13737" t="str">
        <f>"0611860990050"</f>
        <v>0611860990050</v>
      </c>
      <c r="B13737" t="str">
        <f>"CR4691"</f>
        <v>CR4691</v>
      </c>
      <c r="C13737" t="s">
        <v>13509</v>
      </c>
    </row>
    <row r="13738" spans="1:3" x14ac:dyDescent="0.25">
      <c r="A13738" t="str">
        <f>"0611860991050"</f>
        <v>0611860991050</v>
      </c>
      <c r="B13738" t="str">
        <f>"CR4901"</f>
        <v>CR4901</v>
      </c>
      <c r="C13738" t="s">
        <v>13510</v>
      </c>
    </row>
    <row r="13739" spans="1:3" x14ac:dyDescent="0.25">
      <c r="A13739" t="str">
        <f>"0611860992050"</f>
        <v>0611860992050</v>
      </c>
      <c r="B13739" t="str">
        <f>"CR4692"</f>
        <v>CR4692</v>
      </c>
      <c r="C13739" t="s">
        <v>13511</v>
      </c>
    </row>
    <row r="13740" spans="1:3" x14ac:dyDescent="0.25">
      <c r="A13740" t="str">
        <f>"0611860993050"</f>
        <v>0611860993050</v>
      </c>
      <c r="B13740" t="str">
        <f>"CR4693"</f>
        <v>CR4693</v>
      </c>
      <c r="C13740" t="s">
        <v>13512</v>
      </c>
    </row>
    <row r="13741" spans="1:3" x14ac:dyDescent="0.25">
      <c r="A13741" t="str">
        <f>"0611860994050"</f>
        <v>0611860994050</v>
      </c>
      <c r="B13741" t="str">
        <f>"CR4641"</f>
        <v>CR4641</v>
      </c>
      <c r="C13741" t="s">
        <v>13513</v>
      </c>
    </row>
    <row r="13742" spans="1:3" x14ac:dyDescent="0.25">
      <c r="A13742" t="str">
        <f>"0611860995050"</f>
        <v>0611860995050</v>
      </c>
      <c r="B13742" t="str">
        <f>"CR4695"</f>
        <v>CR4695</v>
      </c>
      <c r="C13742" t="s">
        <v>13514</v>
      </c>
    </row>
    <row r="13743" spans="1:3" x14ac:dyDescent="0.25">
      <c r="A13743" t="str">
        <f>"0611860996050"</f>
        <v>0611860996050</v>
      </c>
      <c r="B13743" t="str">
        <f>"CR4696"</f>
        <v>CR4696</v>
      </c>
      <c r="C13743" t="s">
        <v>13516</v>
      </c>
    </row>
    <row r="13744" spans="1:3" x14ac:dyDescent="0.25">
      <c r="A13744" t="str">
        <f>"0611860997050"</f>
        <v>0611860997050</v>
      </c>
      <c r="B13744" t="str">
        <f>"CR4697"</f>
        <v>CR4697</v>
      </c>
      <c r="C13744" t="s">
        <v>13517</v>
      </c>
    </row>
    <row r="13745" spans="1:3" x14ac:dyDescent="0.25">
      <c r="A13745" t="str">
        <f>"0611860998050"</f>
        <v>0611860998050</v>
      </c>
      <c r="B13745" t="str">
        <f>"CR4698"</f>
        <v>CR4698</v>
      </c>
      <c r="C13745" t="s">
        <v>13518</v>
      </c>
    </row>
    <row r="13746" spans="1:3" x14ac:dyDescent="0.25">
      <c r="A13746" t="str">
        <f>"0611860999050"</f>
        <v>0611860999050</v>
      </c>
      <c r="B13746" t="str">
        <f>"CR4699"</f>
        <v>CR4699</v>
      </c>
      <c r="C13746" t="s">
        <v>13519</v>
      </c>
    </row>
    <row r="13747" spans="1:3" x14ac:dyDescent="0.25">
      <c r="A13747" t="str">
        <f>"0611861000050"</f>
        <v>0611861000050</v>
      </c>
      <c r="B13747" t="str">
        <f>"CR5049"</f>
        <v>CR5049</v>
      </c>
      <c r="C13747" t="s">
        <v>13520</v>
      </c>
    </row>
    <row r="13748" spans="1:3" x14ac:dyDescent="0.25">
      <c r="A13748" t="str">
        <f>"0611861001050"</f>
        <v>0611861001050</v>
      </c>
      <c r="B13748" t="str">
        <f>"CR4642"</f>
        <v>CR4642</v>
      </c>
      <c r="C13748" t="s">
        <v>13521</v>
      </c>
    </row>
    <row r="13749" spans="1:3" x14ac:dyDescent="0.25">
      <c r="A13749" t="str">
        <f>"0611861002050"</f>
        <v>0611861002050</v>
      </c>
      <c r="B13749" t="str">
        <f>"CR4700"</f>
        <v>CR4700</v>
      </c>
      <c r="C13749" t="s">
        <v>13522</v>
      </c>
    </row>
    <row r="13750" spans="1:3" x14ac:dyDescent="0.25">
      <c r="A13750" t="str">
        <f>"0611861003050"</f>
        <v>0611861003050</v>
      </c>
      <c r="B13750" t="str">
        <f>"CR4702"</f>
        <v>CR4702</v>
      </c>
      <c r="C13750" t="s">
        <v>13524</v>
      </c>
    </row>
    <row r="13751" spans="1:3" x14ac:dyDescent="0.25">
      <c r="A13751" t="str">
        <f>"0611861004050"</f>
        <v>0611861004050</v>
      </c>
      <c r="B13751" t="str">
        <f>"CR4703"</f>
        <v>CR4703</v>
      </c>
      <c r="C13751" t="s">
        <v>13525</v>
      </c>
    </row>
    <row r="13752" spans="1:3" x14ac:dyDescent="0.25">
      <c r="A13752" t="str">
        <f>"0611861005050"</f>
        <v>0611861005050</v>
      </c>
      <c r="B13752" t="str">
        <f>"CR5125"</f>
        <v>CR5125</v>
      </c>
      <c r="C13752" t="s">
        <v>13526</v>
      </c>
    </row>
    <row r="13753" spans="1:3" x14ac:dyDescent="0.25">
      <c r="A13753" t="str">
        <f>"0611861007050"</f>
        <v>0611861007050</v>
      </c>
      <c r="B13753" t="str">
        <f>"CR4705"</f>
        <v>CR4705</v>
      </c>
      <c r="C13753" t="s">
        <v>13527</v>
      </c>
    </row>
    <row r="13754" spans="1:3" x14ac:dyDescent="0.25">
      <c r="A13754" t="str">
        <f>"0611861008050"</f>
        <v>0611861008050</v>
      </c>
      <c r="B13754" t="str">
        <f>"CR4643"</f>
        <v>CR4643</v>
      </c>
      <c r="C13754" t="s">
        <v>13528</v>
      </c>
    </row>
    <row r="13755" spans="1:3" x14ac:dyDescent="0.25">
      <c r="A13755" t="str">
        <f>"0611861009050"</f>
        <v>0611861009050</v>
      </c>
      <c r="B13755" t="str">
        <f>"CR4707"</f>
        <v>CR4707</v>
      </c>
      <c r="C13755" t="s">
        <v>13529</v>
      </c>
    </row>
    <row r="13756" spans="1:3" x14ac:dyDescent="0.25">
      <c r="A13756" t="str">
        <f>"0611861010050"</f>
        <v>0611861010050</v>
      </c>
      <c r="B13756" t="str">
        <f>"CR4708"</f>
        <v>CR4708</v>
      </c>
      <c r="C13756" t="s">
        <v>13530</v>
      </c>
    </row>
    <row r="13757" spans="1:3" x14ac:dyDescent="0.25">
      <c r="A13757" t="str">
        <f>"0611861011050"</f>
        <v>0611861011050</v>
      </c>
      <c r="B13757" t="str">
        <f>"CR4709"</f>
        <v>CR4709</v>
      </c>
      <c r="C13757" t="s">
        <v>13531</v>
      </c>
    </row>
    <row r="13758" spans="1:3" x14ac:dyDescent="0.25">
      <c r="A13758" t="str">
        <f>"0611861012050"</f>
        <v>0611861012050</v>
      </c>
      <c r="B13758" t="str">
        <f>"CR4711"</f>
        <v>CR4711</v>
      </c>
      <c r="C13758" t="s">
        <v>13532</v>
      </c>
    </row>
    <row r="13759" spans="1:3" x14ac:dyDescent="0.25">
      <c r="A13759" t="str">
        <f>"0611861013050"</f>
        <v>0611861013050</v>
      </c>
      <c r="B13759" t="str">
        <f>"CR4713"</f>
        <v>CR4713</v>
      </c>
      <c r="C13759" t="s">
        <v>13533</v>
      </c>
    </row>
    <row r="13760" spans="1:3" x14ac:dyDescent="0.25">
      <c r="A13760" t="str">
        <f>"0611861014050"</f>
        <v>0611861014050</v>
      </c>
      <c r="B13760" t="str">
        <f>"CR5100"</f>
        <v>CR5100</v>
      </c>
      <c r="C13760" t="s">
        <v>13534</v>
      </c>
    </row>
    <row r="13761" spans="1:3" x14ac:dyDescent="0.25">
      <c r="A13761" t="str">
        <f>"0611861015050"</f>
        <v>0611861015050</v>
      </c>
      <c r="B13761" t="str">
        <f>"CR4714"</f>
        <v>CR4714</v>
      </c>
      <c r="C13761" t="s">
        <v>13535</v>
      </c>
    </row>
    <row r="13762" spans="1:3" x14ac:dyDescent="0.25">
      <c r="A13762" t="str">
        <f>"0611861016050"</f>
        <v>0611861016050</v>
      </c>
      <c r="B13762" t="str">
        <f>"CR4715"</f>
        <v>CR4715</v>
      </c>
      <c r="C13762" t="s">
        <v>13536</v>
      </c>
    </row>
    <row r="13763" spans="1:3" x14ac:dyDescent="0.25">
      <c r="A13763" t="str">
        <f>"0611861017050"</f>
        <v>0611861017050</v>
      </c>
      <c r="B13763" t="str">
        <f>"CR4716"</f>
        <v>CR4716</v>
      </c>
      <c r="C13763" t="s">
        <v>13537</v>
      </c>
    </row>
    <row r="13764" spans="1:3" x14ac:dyDescent="0.25">
      <c r="A13764" t="str">
        <f>"0611861018050"</f>
        <v>0611861018050</v>
      </c>
      <c r="B13764" t="str">
        <f>"CR5101"</f>
        <v>CR5101</v>
      </c>
      <c r="C13764" t="s">
        <v>13538</v>
      </c>
    </row>
    <row r="13765" spans="1:3" x14ac:dyDescent="0.25">
      <c r="A13765" t="str">
        <f>"0611861019050"</f>
        <v>0611861019050</v>
      </c>
      <c r="B13765" t="str">
        <f>"CR4644"</f>
        <v>CR4644</v>
      </c>
      <c r="C13765" t="s">
        <v>13539</v>
      </c>
    </row>
    <row r="13766" spans="1:3" x14ac:dyDescent="0.25">
      <c r="A13766" t="str">
        <f>"0611861020050"</f>
        <v>0611861020050</v>
      </c>
      <c r="B13766" t="str">
        <f>"CR4645"</f>
        <v>CR4645</v>
      </c>
      <c r="C13766" t="s">
        <v>13540</v>
      </c>
    </row>
    <row r="13767" spans="1:3" x14ac:dyDescent="0.25">
      <c r="A13767" t="str">
        <f>"0611861021050"</f>
        <v>0611861021050</v>
      </c>
      <c r="B13767" t="str">
        <f>"CR4646"</f>
        <v>CR4646</v>
      </c>
      <c r="C13767" t="s">
        <v>13541</v>
      </c>
    </row>
    <row r="13768" spans="1:3" x14ac:dyDescent="0.25">
      <c r="A13768" t="str">
        <f>"0611861022050"</f>
        <v>0611861022050</v>
      </c>
      <c r="B13768" t="str">
        <f>"CR5102"</f>
        <v>CR5102</v>
      </c>
      <c r="C13768" t="s">
        <v>13542</v>
      </c>
    </row>
    <row r="13769" spans="1:3" x14ac:dyDescent="0.25">
      <c r="A13769" t="str">
        <f>"0611861023050"</f>
        <v>0611861023050</v>
      </c>
      <c r="B13769" t="str">
        <f>"CR4718"</f>
        <v>CR4718</v>
      </c>
      <c r="C13769" t="s">
        <v>13543</v>
      </c>
    </row>
    <row r="13770" spans="1:3" x14ac:dyDescent="0.25">
      <c r="A13770" t="str">
        <f>"0611861024050"</f>
        <v>0611861024050</v>
      </c>
      <c r="B13770" t="str">
        <f>"CR4719"</f>
        <v>CR4719</v>
      </c>
      <c r="C13770" t="s">
        <v>13544</v>
      </c>
    </row>
    <row r="13771" spans="1:3" x14ac:dyDescent="0.25">
      <c r="A13771" t="str">
        <f>"0611861025050"</f>
        <v>0611861025050</v>
      </c>
      <c r="B13771" t="str">
        <f>"CR4647"</f>
        <v>CR4647</v>
      </c>
      <c r="C13771" t="s">
        <v>13545</v>
      </c>
    </row>
    <row r="13772" spans="1:3" x14ac:dyDescent="0.25">
      <c r="A13772" t="str">
        <f>"0611861026050"</f>
        <v>0611861026050</v>
      </c>
      <c r="B13772" t="str">
        <f>"CR5043"</f>
        <v>CR5043</v>
      </c>
      <c r="C13772" t="s">
        <v>13546</v>
      </c>
    </row>
    <row r="13773" spans="1:3" x14ac:dyDescent="0.25">
      <c r="A13773" t="str">
        <f>"0611861027050"</f>
        <v>0611861027050</v>
      </c>
      <c r="B13773" t="str">
        <f>"CR4720"</f>
        <v>CR4720</v>
      </c>
      <c r="C13773" t="s">
        <v>13547</v>
      </c>
    </row>
    <row r="13774" spans="1:3" x14ac:dyDescent="0.25">
      <c r="A13774" t="str">
        <f>"0611861028050"</f>
        <v>0611861028050</v>
      </c>
      <c r="B13774" t="str">
        <f>"CR4721"</f>
        <v>CR4721</v>
      </c>
      <c r="C13774" t="s">
        <v>13548</v>
      </c>
    </row>
    <row r="13775" spans="1:3" x14ac:dyDescent="0.25">
      <c r="A13775" t="str">
        <f>"0611861029050"</f>
        <v>0611861029050</v>
      </c>
      <c r="B13775" t="str">
        <f>"CR4902"</f>
        <v>CR4902</v>
      </c>
      <c r="C13775" t="s">
        <v>13549</v>
      </c>
    </row>
    <row r="13776" spans="1:3" x14ac:dyDescent="0.25">
      <c r="A13776" t="str">
        <f>"0611861030050"</f>
        <v>0611861030050</v>
      </c>
      <c r="B13776" t="str">
        <f>"CR5044"</f>
        <v>CR5044</v>
      </c>
      <c r="C13776" t="s">
        <v>13550</v>
      </c>
    </row>
    <row r="13777" spans="1:3" x14ac:dyDescent="0.25">
      <c r="A13777" t="str">
        <f>"0611861031050"</f>
        <v>0611861031050</v>
      </c>
      <c r="B13777" t="str">
        <f>"CR4723"</f>
        <v>CR4723</v>
      </c>
      <c r="C13777" t="s">
        <v>13551</v>
      </c>
    </row>
    <row r="13778" spans="1:3" x14ac:dyDescent="0.25">
      <c r="A13778" t="str">
        <f>"0611861032050"</f>
        <v>0611861032050</v>
      </c>
      <c r="B13778" t="str">
        <f>"CR4724"</f>
        <v>CR4724</v>
      </c>
      <c r="C13778" t="s">
        <v>13552</v>
      </c>
    </row>
    <row r="13779" spans="1:3" x14ac:dyDescent="0.25">
      <c r="A13779" t="str">
        <f>"0611861033050"</f>
        <v>0611861033050</v>
      </c>
      <c r="B13779" t="str">
        <f>"CR4725"</f>
        <v>CR4725</v>
      </c>
      <c r="C13779" t="s">
        <v>13553</v>
      </c>
    </row>
    <row r="13780" spans="1:3" x14ac:dyDescent="0.25">
      <c r="A13780" t="str">
        <f>"0611861034050"</f>
        <v>0611861034050</v>
      </c>
      <c r="B13780" t="str">
        <f>"CR4726"</f>
        <v>CR4726</v>
      </c>
      <c r="C13780" t="s">
        <v>13554</v>
      </c>
    </row>
    <row r="13781" spans="1:3" x14ac:dyDescent="0.25">
      <c r="A13781" t="str">
        <f>"0611861035050"</f>
        <v>0611861035050</v>
      </c>
      <c r="B13781" t="str">
        <f>"CR4903"</f>
        <v>CR4903</v>
      </c>
      <c r="C13781" t="s">
        <v>13555</v>
      </c>
    </row>
    <row r="13782" spans="1:3" x14ac:dyDescent="0.25">
      <c r="A13782" t="str">
        <f>"0611861036050"</f>
        <v>0611861036050</v>
      </c>
      <c r="B13782" t="str">
        <f>"CR4648"</f>
        <v>CR4648</v>
      </c>
      <c r="C13782" t="s">
        <v>13556</v>
      </c>
    </row>
    <row r="13783" spans="1:3" x14ac:dyDescent="0.25">
      <c r="A13783" t="str">
        <f>"0611861037050"</f>
        <v>0611861037050</v>
      </c>
      <c r="B13783" t="str">
        <f>"CR4649"</f>
        <v>CR4649</v>
      </c>
      <c r="C13783" t="s">
        <v>13557</v>
      </c>
    </row>
    <row r="13784" spans="1:3" x14ac:dyDescent="0.25">
      <c r="A13784" t="str">
        <f>"0611861038050"</f>
        <v>0611861038050</v>
      </c>
      <c r="B13784" t="str">
        <f>"CR4727"</f>
        <v>CR4727</v>
      </c>
      <c r="C13784" t="s">
        <v>13558</v>
      </c>
    </row>
    <row r="13785" spans="1:3" x14ac:dyDescent="0.25">
      <c r="A13785" t="str">
        <f>"0611861039050"</f>
        <v>0611861039050</v>
      </c>
      <c r="B13785" t="str">
        <f>"CR4728"</f>
        <v>CR4728</v>
      </c>
      <c r="C13785" t="s">
        <v>13559</v>
      </c>
    </row>
    <row r="13786" spans="1:3" x14ac:dyDescent="0.25">
      <c r="A13786" t="str">
        <f>"0611861040050"</f>
        <v>0611861040050</v>
      </c>
      <c r="B13786" t="str">
        <f>"CR4729"</f>
        <v>CR4729</v>
      </c>
      <c r="C13786" t="s">
        <v>13560</v>
      </c>
    </row>
    <row r="13787" spans="1:3" x14ac:dyDescent="0.25">
      <c r="A13787" t="str">
        <f>"0611861041050"</f>
        <v>0611861041050</v>
      </c>
      <c r="B13787" t="str">
        <f>"CR5103"</f>
        <v>CR5103</v>
      </c>
      <c r="C13787" t="s">
        <v>13561</v>
      </c>
    </row>
    <row r="13788" spans="1:3" x14ac:dyDescent="0.25">
      <c r="A13788" t="str">
        <f>"0611861042050"</f>
        <v>0611861042050</v>
      </c>
      <c r="B13788" t="str">
        <f>"CR4879"</f>
        <v>CR4879</v>
      </c>
      <c r="C13788" t="s">
        <v>13563</v>
      </c>
    </row>
    <row r="13789" spans="1:3" x14ac:dyDescent="0.25">
      <c r="A13789" t="str">
        <f>"0611861043050"</f>
        <v>0611861043050</v>
      </c>
      <c r="B13789" t="str">
        <f>"CR4731"</f>
        <v>CR4731</v>
      </c>
      <c r="C13789" t="s">
        <v>13565</v>
      </c>
    </row>
    <row r="13790" spans="1:3" x14ac:dyDescent="0.25">
      <c r="A13790" t="str">
        <f>"0611861044050"</f>
        <v>0611861044050</v>
      </c>
      <c r="B13790" t="str">
        <f>"CR5107"</f>
        <v>CR5107</v>
      </c>
      <c r="C13790" t="s">
        <v>13566</v>
      </c>
    </row>
    <row r="13791" spans="1:3" x14ac:dyDescent="0.25">
      <c r="A13791" t="str">
        <f>"0611861045050"</f>
        <v>0611861045050</v>
      </c>
      <c r="B13791" t="str">
        <f>"CR5060"</f>
        <v>CR5060</v>
      </c>
      <c r="C13791" t="s">
        <v>13567</v>
      </c>
    </row>
    <row r="13792" spans="1:3" x14ac:dyDescent="0.25">
      <c r="A13792" t="str">
        <f>"0611861046050"</f>
        <v>0611861046050</v>
      </c>
      <c r="B13792" t="str">
        <f>"CR4732"</f>
        <v>CR4732</v>
      </c>
      <c r="C13792" t="s">
        <v>13569</v>
      </c>
    </row>
    <row r="13793" spans="1:3" x14ac:dyDescent="0.25">
      <c r="A13793" t="str">
        <f>"0611861047050"</f>
        <v>0611861047050</v>
      </c>
      <c r="B13793" t="str">
        <f>"CR4733"</f>
        <v>CR4733</v>
      </c>
      <c r="C13793" t="s">
        <v>13570</v>
      </c>
    </row>
    <row r="13794" spans="1:3" x14ac:dyDescent="0.25">
      <c r="A13794" t="str">
        <f>"0611861048050"</f>
        <v>0611861048050</v>
      </c>
      <c r="B13794" t="str">
        <f>"CR4650"</f>
        <v>CR4650</v>
      </c>
      <c r="C13794" t="s">
        <v>13571</v>
      </c>
    </row>
    <row r="13795" spans="1:3" x14ac:dyDescent="0.25">
      <c r="A13795" t="str">
        <f>"0611861049050"</f>
        <v>0611861049050</v>
      </c>
      <c r="B13795" t="str">
        <f>"CR5045"</f>
        <v>CR5045</v>
      </c>
      <c r="C13795" t="s">
        <v>13574</v>
      </c>
    </row>
    <row r="13796" spans="1:3" x14ac:dyDescent="0.25">
      <c r="A13796" t="str">
        <f>"0611861050050"</f>
        <v>0611861050050</v>
      </c>
      <c r="B13796" t="str">
        <f>"CR4735"</f>
        <v>CR4735</v>
      </c>
      <c r="C13796" t="s">
        <v>13575</v>
      </c>
    </row>
    <row r="13797" spans="1:3" x14ac:dyDescent="0.25">
      <c r="A13797" t="str">
        <f>"0611861051050"</f>
        <v>0611861051050</v>
      </c>
      <c r="B13797" t="str">
        <f>"CR4737"</f>
        <v>CR4737</v>
      </c>
      <c r="C13797" t="s">
        <v>13576</v>
      </c>
    </row>
    <row r="13798" spans="1:3" x14ac:dyDescent="0.25">
      <c r="A13798" t="str">
        <f>"0611861052050"</f>
        <v>0611861052050</v>
      </c>
      <c r="B13798" t="str">
        <f>"CR5112"</f>
        <v>CR5112</v>
      </c>
      <c r="C13798" t="s">
        <v>13577</v>
      </c>
    </row>
    <row r="13799" spans="1:3" x14ac:dyDescent="0.25">
      <c r="A13799" t="str">
        <f>"0611861053050"</f>
        <v>0611861053050</v>
      </c>
      <c r="B13799" t="str">
        <f>"CR5048"</f>
        <v>CR5048</v>
      </c>
      <c r="C13799" t="s">
        <v>13578</v>
      </c>
    </row>
    <row r="13800" spans="1:3" x14ac:dyDescent="0.25">
      <c r="A13800" t="str">
        <f>"0611861054050"</f>
        <v>0611861054050</v>
      </c>
      <c r="B13800" t="str">
        <f>"CR4740"</f>
        <v>CR4740</v>
      </c>
      <c r="C13800" t="s">
        <v>13579</v>
      </c>
    </row>
    <row r="13801" spans="1:3" x14ac:dyDescent="0.25">
      <c r="A13801" t="str">
        <f>"0611861055050"</f>
        <v>0611861055050</v>
      </c>
      <c r="B13801" t="str">
        <f>"CR4741"</f>
        <v>CR4741</v>
      </c>
      <c r="C13801" t="s">
        <v>13580</v>
      </c>
    </row>
    <row r="13802" spans="1:3" x14ac:dyDescent="0.25">
      <c r="A13802" t="str">
        <f>"0611861056050"</f>
        <v>0611861056050</v>
      </c>
      <c r="B13802" t="str">
        <f>"CR4742"</f>
        <v>CR4742</v>
      </c>
      <c r="C13802" t="s">
        <v>13581</v>
      </c>
    </row>
    <row r="13803" spans="1:3" x14ac:dyDescent="0.25">
      <c r="A13803" t="str">
        <f>"0611861057050"</f>
        <v>0611861057050</v>
      </c>
      <c r="B13803" t="str">
        <f>"CR4744"</f>
        <v>CR4744</v>
      </c>
      <c r="C13803" t="s">
        <v>13582</v>
      </c>
    </row>
    <row r="13804" spans="1:3" x14ac:dyDescent="0.25">
      <c r="A13804" t="str">
        <f>"0611861058050"</f>
        <v>0611861058050</v>
      </c>
      <c r="B13804" t="str">
        <f>"CR5113"</f>
        <v>CR5113</v>
      </c>
      <c r="C13804" t="s">
        <v>13583</v>
      </c>
    </row>
    <row r="13805" spans="1:3" x14ac:dyDescent="0.25">
      <c r="A13805" t="str">
        <f>"0611861059050"</f>
        <v>0611861059050</v>
      </c>
      <c r="B13805" t="str">
        <f>"CR4745"</f>
        <v>CR4745</v>
      </c>
      <c r="C13805" t="s">
        <v>13584</v>
      </c>
    </row>
    <row r="13806" spans="1:3" x14ac:dyDescent="0.25">
      <c r="A13806" t="str">
        <f>"0611861060050"</f>
        <v>0611861060050</v>
      </c>
      <c r="B13806" t="str">
        <f>"CR4746"</f>
        <v>CR4746</v>
      </c>
      <c r="C13806" t="s">
        <v>13585</v>
      </c>
    </row>
    <row r="13807" spans="1:3" x14ac:dyDescent="0.25">
      <c r="A13807" t="str">
        <f>"0611861061050"</f>
        <v>0611861061050</v>
      </c>
      <c r="B13807" t="str">
        <f>"CR4747"</f>
        <v>CR4747</v>
      </c>
      <c r="C13807" t="s">
        <v>13586</v>
      </c>
    </row>
    <row r="13808" spans="1:3" x14ac:dyDescent="0.25">
      <c r="A13808" t="str">
        <f>"0611861062050"</f>
        <v>0611861062050</v>
      </c>
      <c r="B13808" t="str">
        <f>"CR4651"</f>
        <v>CR4651</v>
      </c>
      <c r="C13808" t="s">
        <v>13587</v>
      </c>
    </row>
    <row r="13809" spans="1:3" x14ac:dyDescent="0.25">
      <c r="A13809" t="str">
        <f>"0611861063050"</f>
        <v>0611861063050</v>
      </c>
      <c r="B13809" t="str">
        <f>"CR4748"</f>
        <v>CR4748</v>
      </c>
      <c r="C13809" t="s">
        <v>13588</v>
      </c>
    </row>
    <row r="13810" spans="1:3" x14ac:dyDescent="0.25">
      <c r="A13810" t="str">
        <f>"0611861064050"</f>
        <v>0611861064050</v>
      </c>
      <c r="B13810" t="str">
        <f>"CR4749"</f>
        <v>CR4749</v>
      </c>
      <c r="C13810" t="s">
        <v>13589</v>
      </c>
    </row>
    <row r="13811" spans="1:3" x14ac:dyDescent="0.25">
      <c r="A13811" t="str">
        <f>"0611861065050"</f>
        <v>0611861065050</v>
      </c>
      <c r="B13811" t="str">
        <f>"CR4750"</f>
        <v>CR4750</v>
      </c>
      <c r="C13811" t="s">
        <v>13590</v>
      </c>
    </row>
    <row r="13812" spans="1:3" x14ac:dyDescent="0.25">
      <c r="A13812" t="str">
        <f>"0611861066050"</f>
        <v>0611861066050</v>
      </c>
      <c r="B13812" t="str">
        <f>"CR4751"</f>
        <v>CR4751</v>
      </c>
      <c r="C13812" t="s">
        <v>13591</v>
      </c>
    </row>
    <row r="13813" spans="1:3" x14ac:dyDescent="0.25">
      <c r="A13813" t="str">
        <f>"0611861067050"</f>
        <v>0611861067050</v>
      </c>
      <c r="B13813" t="str">
        <f>"CR5115"</f>
        <v>CR5115</v>
      </c>
      <c r="C13813" t="s">
        <v>13592</v>
      </c>
    </row>
    <row r="13814" spans="1:3" x14ac:dyDescent="0.25">
      <c r="A13814" t="str">
        <f>"0611861068050"</f>
        <v>0611861068050</v>
      </c>
      <c r="B13814" t="str">
        <f>"CR4753"</f>
        <v>CR4753</v>
      </c>
      <c r="C13814" t="s">
        <v>13593</v>
      </c>
    </row>
    <row r="13815" spans="1:3" x14ac:dyDescent="0.25">
      <c r="A13815" t="str">
        <f>"0611861069050"</f>
        <v>0611861069050</v>
      </c>
      <c r="B13815" t="str">
        <f>"CR5116"</f>
        <v>CR5116</v>
      </c>
      <c r="C13815" t="s">
        <v>13595</v>
      </c>
    </row>
    <row r="13816" spans="1:3" x14ac:dyDescent="0.25">
      <c r="A13816" t="str">
        <f>"0611861070050"</f>
        <v>0611861070050</v>
      </c>
      <c r="B13816" t="str">
        <f>"CR5124"</f>
        <v>CR5124</v>
      </c>
      <c r="C13816" t="s">
        <v>13596</v>
      </c>
    </row>
    <row r="13817" spans="1:3" x14ac:dyDescent="0.25">
      <c r="A13817" t="str">
        <f>"0611861071050"</f>
        <v>0611861071050</v>
      </c>
      <c r="B13817" t="str">
        <f>"CR4755"</f>
        <v>CR4755</v>
      </c>
      <c r="C13817" t="s">
        <v>13597</v>
      </c>
    </row>
    <row r="13818" spans="1:3" x14ac:dyDescent="0.25">
      <c r="A13818" t="str">
        <f>"0611861072050"</f>
        <v>0611861072050</v>
      </c>
      <c r="B13818" t="str">
        <f>"CR4756"</f>
        <v>CR4756</v>
      </c>
      <c r="C13818" t="s">
        <v>13598</v>
      </c>
    </row>
    <row r="13819" spans="1:3" x14ac:dyDescent="0.25">
      <c r="A13819" t="str">
        <f>"0611861073050"</f>
        <v>0611861073050</v>
      </c>
      <c r="B13819" t="str">
        <f>"CR4757"</f>
        <v>CR4757</v>
      </c>
      <c r="C13819" t="s">
        <v>13599</v>
      </c>
    </row>
    <row r="13820" spans="1:3" x14ac:dyDescent="0.25">
      <c r="A13820" t="str">
        <f>"0611861074050"</f>
        <v>0611861074050</v>
      </c>
      <c r="B13820" t="str">
        <f>"CR5117"</f>
        <v>CR5117</v>
      </c>
      <c r="C13820" t="s">
        <v>13600</v>
      </c>
    </row>
    <row r="13821" spans="1:3" x14ac:dyDescent="0.25">
      <c r="A13821" t="str">
        <f>"0611861075050"</f>
        <v>0611861075050</v>
      </c>
      <c r="B13821" t="str">
        <f>"CR5123"</f>
        <v>CR5123</v>
      </c>
      <c r="C13821" t="s">
        <v>13601</v>
      </c>
    </row>
    <row r="13822" spans="1:3" x14ac:dyDescent="0.25">
      <c r="A13822" t="str">
        <f>"0611861076050"</f>
        <v>0611861076050</v>
      </c>
      <c r="B13822" t="str">
        <f>"CR4652"</f>
        <v>CR4652</v>
      </c>
      <c r="C13822" t="s">
        <v>13602</v>
      </c>
    </row>
    <row r="13823" spans="1:3" x14ac:dyDescent="0.25">
      <c r="A13823" t="str">
        <f>"0611861077050"</f>
        <v>0611861077050</v>
      </c>
      <c r="B13823" t="str">
        <f>"CR5118"</f>
        <v>CR5118</v>
      </c>
      <c r="C13823" t="s">
        <v>13603</v>
      </c>
    </row>
    <row r="13824" spans="1:3" x14ac:dyDescent="0.25">
      <c r="A13824" t="str">
        <f>"0611861078050"</f>
        <v>0611861078050</v>
      </c>
      <c r="B13824" t="str">
        <f>"CR4759"</f>
        <v>CR4759</v>
      </c>
      <c r="C13824" t="s">
        <v>13604</v>
      </c>
    </row>
    <row r="13825" spans="1:3" x14ac:dyDescent="0.25">
      <c r="A13825" t="str">
        <f>"0611861079050"</f>
        <v>0611861079050</v>
      </c>
      <c r="B13825" t="str">
        <f>"CR5119"</f>
        <v>CR5119</v>
      </c>
      <c r="C13825" t="s">
        <v>13605</v>
      </c>
    </row>
    <row r="13826" spans="1:3" x14ac:dyDescent="0.25">
      <c r="A13826" t="str">
        <f>"0611884525050"</f>
        <v>0611884525050</v>
      </c>
      <c r="B13826" t="str">
        <f>"CR5284"</f>
        <v>CR5284</v>
      </c>
      <c r="C13826" t="s">
        <v>13562</v>
      </c>
    </row>
    <row r="13827" spans="1:3" x14ac:dyDescent="0.25">
      <c r="A13827" t="str">
        <f>"0611884526050"</f>
        <v>0611884526050</v>
      </c>
      <c r="B13827" t="str">
        <f>"CR5106"</f>
        <v>CR5106</v>
      </c>
      <c r="C13827" t="s">
        <v>13564</v>
      </c>
    </row>
    <row r="13828" spans="1:3" x14ac:dyDescent="0.25">
      <c r="A13828" t="str">
        <f>"0611884527050"</f>
        <v>0611884527050</v>
      </c>
      <c r="B13828" t="str">
        <f>"CR5110"</f>
        <v>CR5110</v>
      </c>
      <c r="C13828" t="s">
        <v>13568</v>
      </c>
    </row>
    <row r="13829" spans="1:3" x14ac:dyDescent="0.25">
      <c r="A13829" t="str">
        <f>"0611906604050"</f>
        <v>0611906604050</v>
      </c>
      <c r="B13829" t="str">
        <f>"CR5527"</f>
        <v>CR5527</v>
      </c>
      <c r="C13829" t="s">
        <v>13572</v>
      </c>
    </row>
    <row r="13830" spans="1:3" x14ac:dyDescent="0.25">
      <c r="A13830" t="str">
        <f>"0611884528050"</f>
        <v>0611884528050</v>
      </c>
      <c r="B13830" t="str">
        <f>"CR5111"</f>
        <v>CR5111</v>
      </c>
      <c r="C13830" t="s">
        <v>13573</v>
      </c>
    </row>
    <row r="13831" spans="1:3" x14ac:dyDescent="0.25">
      <c r="A13831" t="str">
        <f>"0611884529050"</f>
        <v>0611884529050</v>
      </c>
      <c r="B13831" t="str">
        <f>"CR5266"</f>
        <v>CR5266</v>
      </c>
      <c r="C13831" t="s">
        <v>13594</v>
      </c>
    </row>
    <row r="13832" spans="1:3" x14ac:dyDescent="0.25">
      <c r="A13832" t="str">
        <f>"0611840732100"</f>
        <v>0611840732100</v>
      </c>
      <c r="B13832" t="str">
        <f>"LF9103"</f>
        <v>LF9103</v>
      </c>
      <c r="C13832" t="s">
        <v>13506</v>
      </c>
    </row>
    <row r="13833" spans="1:3" x14ac:dyDescent="0.25">
      <c r="A13833" t="str">
        <f>"0611840733025"</f>
        <v>0611840733025</v>
      </c>
      <c r="B13833" t="str">
        <f>"MC0930"</f>
        <v>MC0930</v>
      </c>
      <c r="C13833" t="s">
        <v>13507</v>
      </c>
    </row>
    <row r="13834" spans="1:3" x14ac:dyDescent="0.25">
      <c r="A13834" t="str">
        <f>"0611884530100"</f>
        <v>0611884530100</v>
      </c>
      <c r="B13834" t="str">
        <f>"LK7199"</f>
        <v>LK7199</v>
      </c>
      <c r="C13834" t="s">
        <v>13606</v>
      </c>
    </row>
    <row r="13835" spans="1:3" x14ac:dyDescent="0.25">
      <c r="A13835" t="str">
        <f>"0611840746100"</f>
        <v>0611840746100</v>
      </c>
      <c r="B13835" t="str">
        <f>"LB9540"</f>
        <v>LB9540</v>
      </c>
      <c r="C13835" t="s">
        <v>13607</v>
      </c>
    </row>
    <row r="13836" spans="1:3" x14ac:dyDescent="0.25">
      <c r="A13836" t="str">
        <f>"0611840747100"</f>
        <v>0611840747100</v>
      </c>
      <c r="B13836" t="str">
        <f>"LB9544"</f>
        <v>LB9544</v>
      </c>
      <c r="C13836" t="s">
        <v>13608</v>
      </c>
    </row>
    <row r="13837" spans="1:3" x14ac:dyDescent="0.25">
      <c r="A13837" t="str">
        <f>"0611840748100"</f>
        <v>0611840748100</v>
      </c>
      <c r="B13837" t="str">
        <f>"LB9545"</f>
        <v>LB9545</v>
      </c>
      <c r="C13837" t="s">
        <v>13609</v>
      </c>
    </row>
    <row r="13838" spans="1:3" x14ac:dyDescent="0.25">
      <c r="A13838" t="str">
        <f>"0611840749100"</f>
        <v>0611840749100</v>
      </c>
      <c r="B13838" t="str">
        <f>"LK1819"</f>
        <v>LK1819</v>
      </c>
      <c r="C13838" t="s">
        <v>13610</v>
      </c>
    </row>
    <row r="13839" spans="1:3" x14ac:dyDescent="0.25">
      <c r="A13839" t="str">
        <f>"0611840750100"</f>
        <v>0611840750100</v>
      </c>
      <c r="B13839" t="str">
        <f>"LB9537"</f>
        <v>LB9537</v>
      </c>
      <c r="C13839" t="s">
        <v>13611</v>
      </c>
    </row>
    <row r="13840" spans="1:3" x14ac:dyDescent="0.25">
      <c r="A13840" t="str">
        <f>"0611840751100"</f>
        <v>0611840751100</v>
      </c>
      <c r="B13840" t="str">
        <f>"LB9547"</f>
        <v>LB9547</v>
      </c>
      <c r="C13840" t="s">
        <v>13612</v>
      </c>
    </row>
    <row r="13841" spans="1:3" x14ac:dyDescent="0.25">
      <c r="A13841" t="str">
        <f>"0611840752100"</f>
        <v>0611840752100</v>
      </c>
      <c r="B13841" t="str">
        <f>"LB9548"</f>
        <v>LB9548</v>
      </c>
      <c r="C13841" t="s">
        <v>13613</v>
      </c>
    </row>
    <row r="13842" spans="1:3" x14ac:dyDescent="0.25">
      <c r="A13842" t="str">
        <f>"0611840753100"</f>
        <v>0611840753100</v>
      </c>
      <c r="B13842" t="str">
        <f>"LK4398"</f>
        <v>LK4398</v>
      </c>
      <c r="C13842" t="s">
        <v>13614</v>
      </c>
    </row>
    <row r="13843" spans="1:3" x14ac:dyDescent="0.25">
      <c r="A13843" t="str">
        <f>"0611840754100"</f>
        <v>0611840754100</v>
      </c>
      <c r="B13843" t="str">
        <f>"LK4399"</f>
        <v>LK4399</v>
      </c>
      <c r="C13843" t="s">
        <v>13615</v>
      </c>
    </row>
    <row r="13844" spans="1:3" x14ac:dyDescent="0.25">
      <c r="A13844" t="str">
        <f>"0611840891100"</f>
        <v>0611840891100</v>
      </c>
      <c r="B13844" t="str">
        <f>"LS0125"</f>
        <v>LS0125</v>
      </c>
      <c r="C13844" t="s">
        <v>13633</v>
      </c>
    </row>
    <row r="13845" spans="1:3" x14ac:dyDescent="0.25">
      <c r="A13845" t="str">
        <f>"0611840755100"</f>
        <v>0611840755100</v>
      </c>
      <c r="B13845" t="str">
        <f>"LB9422"</f>
        <v>LB9422</v>
      </c>
      <c r="C13845" t="s">
        <v>13616</v>
      </c>
    </row>
    <row r="13846" spans="1:3" x14ac:dyDescent="0.25">
      <c r="A13846" t="str">
        <f>"0611840756100"</f>
        <v>0611840756100</v>
      </c>
      <c r="B13846" t="str">
        <f>"LK6528"</f>
        <v>LK6528</v>
      </c>
      <c r="C13846" t="s">
        <v>13617</v>
      </c>
    </row>
    <row r="13847" spans="1:3" x14ac:dyDescent="0.25">
      <c r="A13847" t="str">
        <f>"0611840758100"</f>
        <v>0611840758100</v>
      </c>
      <c r="B13847" t="str">
        <f>"LK1061"</f>
        <v>LK1061</v>
      </c>
      <c r="C13847" t="s">
        <v>13618</v>
      </c>
    </row>
    <row r="13848" spans="1:3" x14ac:dyDescent="0.25">
      <c r="A13848" t="str">
        <f>"0611840760100"</f>
        <v>0611840760100</v>
      </c>
      <c r="B13848" t="str">
        <f>"LB9481"</f>
        <v>LB9481</v>
      </c>
      <c r="C13848" t="s">
        <v>13619</v>
      </c>
    </row>
    <row r="13849" spans="1:3" x14ac:dyDescent="0.25">
      <c r="A13849" t="str">
        <f>"0611840761100"</f>
        <v>0611840761100</v>
      </c>
      <c r="B13849" t="str">
        <f>"LK1062"</f>
        <v>LK1062</v>
      </c>
      <c r="C13849" t="s">
        <v>13620</v>
      </c>
    </row>
    <row r="13850" spans="1:3" x14ac:dyDescent="0.25">
      <c r="A13850" t="str">
        <f>"0611840762100"</f>
        <v>0611840762100</v>
      </c>
      <c r="B13850" t="str">
        <f>"LB9437"</f>
        <v>LB9437</v>
      </c>
      <c r="C13850" t="s">
        <v>13621</v>
      </c>
    </row>
    <row r="13851" spans="1:3" x14ac:dyDescent="0.25">
      <c r="A13851" t="str">
        <f>"0611840853100"</f>
        <v>0611840853100</v>
      </c>
      <c r="B13851" t="str">
        <f>"LK6507"</f>
        <v>LK6507</v>
      </c>
      <c r="C13851" t="s">
        <v>13711</v>
      </c>
    </row>
    <row r="13852" spans="1:3" x14ac:dyDescent="0.25">
      <c r="A13852" t="str">
        <f>"0611840854100"</f>
        <v>0611840854100</v>
      </c>
      <c r="B13852" t="str">
        <f>"LK6196"</f>
        <v>LK6196</v>
      </c>
      <c r="C13852" t="s">
        <v>13712</v>
      </c>
    </row>
    <row r="13853" spans="1:3" x14ac:dyDescent="0.25">
      <c r="A13853" t="str">
        <f>"0611840856100"</f>
        <v>0611840856100</v>
      </c>
      <c r="B13853" t="str">
        <f>"LK4438"</f>
        <v>LK4438</v>
      </c>
      <c r="C13853" t="s">
        <v>13713</v>
      </c>
    </row>
    <row r="13854" spans="1:3" x14ac:dyDescent="0.25">
      <c r="A13854" t="str">
        <f>"0611840857100"</f>
        <v>0611840857100</v>
      </c>
      <c r="B13854" t="str">
        <f>"LK4563"</f>
        <v>LK4563</v>
      </c>
      <c r="C13854" t="s">
        <v>13714</v>
      </c>
    </row>
    <row r="13855" spans="1:3" x14ac:dyDescent="0.25">
      <c r="A13855" t="str">
        <f>"0611840858100"</f>
        <v>0611840858100</v>
      </c>
      <c r="B13855" t="str">
        <f>"LK4439"</f>
        <v>LK4439</v>
      </c>
      <c r="C13855" t="s">
        <v>13715</v>
      </c>
    </row>
    <row r="13856" spans="1:3" x14ac:dyDescent="0.25">
      <c r="A13856" t="str">
        <f>"0611840859100"</f>
        <v>0611840859100</v>
      </c>
      <c r="B13856" t="str">
        <f>"LK6317"</f>
        <v>LK6317</v>
      </c>
      <c r="C13856" t="s">
        <v>13716</v>
      </c>
    </row>
    <row r="13857" spans="1:3" x14ac:dyDescent="0.25">
      <c r="A13857" t="str">
        <f>"0611840855100"</f>
        <v>0611840855100</v>
      </c>
      <c r="B13857" t="str">
        <f>"LK6318"</f>
        <v>LK6318</v>
      </c>
      <c r="C13857" t="s">
        <v>13717</v>
      </c>
    </row>
    <row r="13858" spans="1:3" x14ac:dyDescent="0.25">
      <c r="A13858" t="str">
        <f>"0611840860100"</f>
        <v>0611840860100</v>
      </c>
      <c r="B13858" t="str">
        <f>"LK6508"</f>
        <v>LK6508</v>
      </c>
      <c r="C13858" t="s">
        <v>13718</v>
      </c>
    </row>
    <row r="13859" spans="1:3" x14ac:dyDescent="0.25">
      <c r="A13859" t="str">
        <f>"0611840861100"</f>
        <v>0611840861100</v>
      </c>
      <c r="B13859" t="str">
        <f>"LK5988"</f>
        <v>LK5988</v>
      </c>
      <c r="C13859" t="s">
        <v>13719</v>
      </c>
    </row>
    <row r="13860" spans="1:3" x14ac:dyDescent="0.25">
      <c r="A13860" t="str">
        <f>"0611840863100"</f>
        <v>0611840863100</v>
      </c>
      <c r="B13860" t="str">
        <f>"LK6509"</f>
        <v>LK6509</v>
      </c>
      <c r="C13860" t="s">
        <v>13720</v>
      </c>
    </row>
    <row r="13861" spans="1:3" x14ac:dyDescent="0.25">
      <c r="A13861" t="str">
        <f>"0611840864100"</f>
        <v>0611840864100</v>
      </c>
      <c r="B13861" t="str">
        <f>"LK5989"</f>
        <v>LK5989</v>
      </c>
      <c r="C13861" t="s">
        <v>13721</v>
      </c>
    </row>
    <row r="13862" spans="1:3" x14ac:dyDescent="0.25">
      <c r="A13862" t="str">
        <f>"0611840763100"</f>
        <v>0611840763100</v>
      </c>
      <c r="B13862" t="str">
        <f>"LB9459"</f>
        <v>LB9459</v>
      </c>
      <c r="C13862" t="s">
        <v>13622</v>
      </c>
    </row>
    <row r="13863" spans="1:3" x14ac:dyDescent="0.25">
      <c r="A13863" t="str">
        <f>"0611840764100"</f>
        <v>0611840764100</v>
      </c>
      <c r="B13863" t="str">
        <f>"LB9464"</f>
        <v>LB9464</v>
      </c>
      <c r="C13863" t="s">
        <v>13623</v>
      </c>
    </row>
    <row r="13864" spans="1:3" x14ac:dyDescent="0.25">
      <c r="A13864" t="str">
        <f>"0611840765100"</f>
        <v>0611840765100</v>
      </c>
      <c r="B13864" t="str">
        <f>"LB9463"</f>
        <v>LB9463</v>
      </c>
      <c r="C13864" t="s">
        <v>13624</v>
      </c>
    </row>
    <row r="13865" spans="1:3" x14ac:dyDescent="0.25">
      <c r="A13865" t="str">
        <f>"0611840766100"</f>
        <v>0611840766100</v>
      </c>
      <c r="B13865" t="str">
        <f>"LB9462"</f>
        <v>LB9462</v>
      </c>
      <c r="C13865" t="s">
        <v>13625</v>
      </c>
    </row>
    <row r="13866" spans="1:3" x14ac:dyDescent="0.25">
      <c r="A13866" t="str">
        <f>"0611840767100"</f>
        <v>0611840767100</v>
      </c>
      <c r="B13866" t="str">
        <f>"LB9482"</f>
        <v>LB9482</v>
      </c>
      <c r="C13866" t="s">
        <v>13626</v>
      </c>
    </row>
    <row r="13867" spans="1:3" x14ac:dyDescent="0.25">
      <c r="A13867" t="str">
        <f>"0611840768100"</f>
        <v>0611840768100</v>
      </c>
      <c r="B13867" t="str">
        <f>"LB9466"</f>
        <v>LB9466</v>
      </c>
      <c r="C13867" t="s">
        <v>13627</v>
      </c>
    </row>
    <row r="13868" spans="1:3" x14ac:dyDescent="0.25">
      <c r="A13868" t="str">
        <f>"0611840769100"</f>
        <v>0611840769100</v>
      </c>
      <c r="B13868" t="str">
        <f>"LB9465"</f>
        <v>LB9465</v>
      </c>
      <c r="C13868" t="s">
        <v>13628</v>
      </c>
    </row>
    <row r="13869" spans="1:3" x14ac:dyDescent="0.25">
      <c r="A13869" t="str">
        <f>"0611840770100"</f>
        <v>0611840770100</v>
      </c>
      <c r="B13869" t="str">
        <f>"LB9467"</f>
        <v>LB9467</v>
      </c>
      <c r="C13869" t="s">
        <v>13629</v>
      </c>
    </row>
    <row r="13870" spans="1:3" x14ac:dyDescent="0.25">
      <c r="A13870" t="str">
        <f>"0611840771100"</f>
        <v>0611840771100</v>
      </c>
      <c r="B13870" t="str">
        <f>"LB9460"</f>
        <v>LB9460</v>
      </c>
      <c r="C13870" t="s">
        <v>13630</v>
      </c>
    </row>
    <row r="13871" spans="1:3" x14ac:dyDescent="0.25">
      <c r="A13871" t="str">
        <f>"0611840772100"</f>
        <v>0611840772100</v>
      </c>
      <c r="B13871" t="str">
        <f>"LB9552"</f>
        <v>LB9552</v>
      </c>
      <c r="C13871" t="s">
        <v>13631</v>
      </c>
    </row>
    <row r="13872" spans="1:3" x14ac:dyDescent="0.25">
      <c r="A13872" t="str">
        <f>"0611840890025"</f>
        <v>0611840890025</v>
      </c>
      <c r="B13872" t="str">
        <f>"MC2315"</f>
        <v>MC2315</v>
      </c>
      <c r="C13872" t="s">
        <v>13632</v>
      </c>
    </row>
    <row r="13873" spans="1:3" x14ac:dyDescent="0.25">
      <c r="A13873" t="str">
        <f>"0611840774100"</f>
        <v>0611840774100</v>
      </c>
      <c r="B13873" t="str">
        <f>"LK6981"</f>
        <v>LK6981</v>
      </c>
      <c r="C13873" t="s">
        <v>13634</v>
      </c>
    </row>
    <row r="13874" spans="1:3" x14ac:dyDescent="0.25">
      <c r="A13874" t="str">
        <f>"0611840775100"</f>
        <v>0611840775100</v>
      </c>
      <c r="B13874" t="str">
        <f>"LK6831"</f>
        <v>LK6831</v>
      </c>
      <c r="C13874" t="s">
        <v>13635</v>
      </c>
    </row>
    <row r="13875" spans="1:3" x14ac:dyDescent="0.25">
      <c r="A13875" t="str">
        <f>"0611840776100"</f>
        <v>0611840776100</v>
      </c>
      <c r="B13875" t="str">
        <f>"LB9556"</f>
        <v>LB9556</v>
      </c>
      <c r="C13875" t="s">
        <v>13636</v>
      </c>
    </row>
    <row r="13876" spans="1:3" x14ac:dyDescent="0.25">
      <c r="A13876" t="str">
        <f>"0611840777100"</f>
        <v>0611840777100</v>
      </c>
      <c r="B13876" t="str">
        <f>"LK1821"</f>
        <v>LK1821</v>
      </c>
      <c r="C13876" t="s">
        <v>13637</v>
      </c>
    </row>
    <row r="13877" spans="1:3" x14ac:dyDescent="0.25">
      <c r="A13877" t="str">
        <f>"0611840778100"</f>
        <v>0611840778100</v>
      </c>
      <c r="B13877" t="str">
        <f>"LK1841"</f>
        <v>LK1841</v>
      </c>
      <c r="C13877" t="s">
        <v>13638</v>
      </c>
    </row>
    <row r="13878" spans="1:3" x14ac:dyDescent="0.25">
      <c r="A13878" t="str">
        <f>"0611840779100"</f>
        <v>0611840779100</v>
      </c>
      <c r="B13878" t="str">
        <f>"LK1822"</f>
        <v>LK1822</v>
      </c>
      <c r="C13878" t="s">
        <v>13639</v>
      </c>
    </row>
    <row r="13879" spans="1:3" x14ac:dyDescent="0.25">
      <c r="A13879" t="str">
        <f>"0611840780100"</f>
        <v>0611840780100</v>
      </c>
      <c r="B13879" t="str">
        <f>"LK1900"</f>
        <v>LK1900</v>
      </c>
      <c r="C13879" t="s">
        <v>13640</v>
      </c>
    </row>
    <row r="13880" spans="1:3" x14ac:dyDescent="0.25">
      <c r="A13880" t="str">
        <f>"0611840781100"</f>
        <v>0611840781100</v>
      </c>
      <c r="B13880" t="str">
        <f>"LK1823"</f>
        <v>LK1823</v>
      </c>
      <c r="C13880" t="s">
        <v>13641</v>
      </c>
    </row>
    <row r="13881" spans="1:3" x14ac:dyDescent="0.25">
      <c r="A13881" t="str">
        <f>"0611840782100"</f>
        <v>0611840782100</v>
      </c>
      <c r="B13881" t="str">
        <f>"LK1824"</f>
        <v>LK1824</v>
      </c>
      <c r="C13881" t="s">
        <v>13642</v>
      </c>
    </row>
    <row r="13882" spans="1:3" x14ac:dyDescent="0.25">
      <c r="A13882" t="str">
        <f>"0611840783100"</f>
        <v>0611840783100</v>
      </c>
      <c r="B13882" t="str">
        <f>"LK1825"</f>
        <v>LK1825</v>
      </c>
      <c r="C13882" t="s">
        <v>13643</v>
      </c>
    </row>
    <row r="13883" spans="1:3" x14ac:dyDescent="0.25">
      <c r="A13883" t="str">
        <f>"0611840784100"</f>
        <v>0611840784100</v>
      </c>
      <c r="B13883" t="str">
        <f>"LK1826"</f>
        <v>LK1826</v>
      </c>
      <c r="C13883" t="s">
        <v>13644</v>
      </c>
    </row>
    <row r="13884" spans="1:3" x14ac:dyDescent="0.25">
      <c r="A13884" t="str">
        <f>"0611840785100"</f>
        <v>0611840785100</v>
      </c>
      <c r="B13884" t="str">
        <f>"LK1827"</f>
        <v>LK1827</v>
      </c>
      <c r="C13884" t="s">
        <v>13645</v>
      </c>
    </row>
    <row r="13885" spans="1:3" x14ac:dyDescent="0.25">
      <c r="A13885" t="str">
        <f>"0611840786100"</f>
        <v>0611840786100</v>
      </c>
      <c r="B13885" t="str">
        <f>"LB9532"</f>
        <v>LB9532</v>
      </c>
      <c r="C13885" t="s">
        <v>13646</v>
      </c>
    </row>
    <row r="13886" spans="1:3" x14ac:dyDescent="0.25">
      <c r="A13886" t="str">
        <f>"0611840788100"</f>
        <v>0611840788100</v>
      </c>
      <c r="B13886" t="str">
        <f>"LK6737"</f>
        <v>LK6737</v>
      </c>
      <c r="C13886" t="s">
        <v>13647</v>
      </c>
    </row>
    <row r="13887" spans="1:3" x14ac:dyDescent="0.25">
      <c r="A13887" t="str">
        <f>"0611840789100"</f>
        <v>0611840789100</v>
      </c>
      <c r="B13887" t="str">
        <f>"LK6738"</f>
        <v>LK6738</v>
      </c>
      <c r="C13887" t="s">
        <v>13648</v>
      </c>
    </row>
    <row r="13888" spans="1:3" x14ac:dyDescent="0.25">
      <c r="A13888" t="str">
        <f>"0611840790100"</f>
        <v>0611840790100</v>
      </c>
      <c r="B13888" t="str">
        <f>"LK6739"</f>
        <v>LK6739</v>
      </c>
      <c r="C13888" t="s">
        <v>13649</v>
      </c>
    </row>
    <row r="13889" spans="1:3" x14ac:dyDescent="0.25">
      <c r="A13889" t="str">
        <f>"0611840791100"</f>
        <v>0611840791100</v>
      </c>
      <c r="B13889" t="str">
        <f>"LK6740"</f>
        <v>LK6740</v>
      </c>
      <c r="C13889" t="s">
        <v>13650</v>
      </c>
    </row>
    <row r="13890" spans="1:3" x14ac:dyDescent="0.25">
      <c r="A13890" t="str">
        <f>"0611840792100"</f>
        <v>0611840792100</v>
      </c>
      <c r="B13890" t="str">
        <f>"LK6741"</f>
        <v>LK6741</v>
      </c>
      <c r="C13890" t="s">
        <v>13651</v>
      </c>
    </row>
    <row r="13891" spans="1:3" x14ac:dyDescent="0.25">
      <c r="A13891" t="str">
        <f>"0611840793100"</f>
        <v>0611840793100</v>
      </c>
      <c r="B13891" t="str">
        <f>"LK6742"</f>
        <v>LK6742</v>
      </c>
      <c r="C13891" t="s">
        <v>13652</v>
      </c>
    </row>
    <row r="13892" spans="1:3" x14ac:dyDescent="0.25">
      <c r="A13892" t="str">
        <f>"0611840794100"</f>
        <v>0611840794100</v>
      </c>
      <c r="B13892" t="str">
        <f>"LK6743"</f>
        <v>LK6743</v>
      </c>
      <c r="C13892" t="s">
        <v>13653</v>
      </c>
    </row>
    <row r="13893" spans="1:3" x14ac:dyDescent="0.25">
      <c r="A13893" t="str">
        <f>"0611840795100"</f>
        <v>0611840795100</v>
      </c>
      <c r="B13893" t="str">
        <f>"LK6736"</f>
        <v>LK6736</v>
      </c>
      <c r="C13893" t="s">
        <v>13654</v>
      </c>
    </row>
    <row r="13894" spans="1:3" x14ac:dyDescent="0.25">
      <c r="A13894" t="str">
        <f>"0611840814100"</f>
        <v>0611840814100</v>
      </c>
      <c r="B13894" t="str">
        <f>"LK6316"</f>
        <v>LK6316</v>
      </c>
      <c r="C13894" t="s">
        <v>13655</v>
      </c>
    </row>
    <row r="13895" spans="1:3" x14ac:dyDescent="0.25">
      <c r="A13895" t="str">
        <f>"0611840813100"</f>
        <v>0611840813100</v>
      </c>
      <c r="B13895" t="str">
        <f>"LK2497"</f>
        <v>LK2497</v>
      </c>
      <c r="C13895" t="s">
        <v>13656</v>
      </c>
    </row>
    <row r="13896" spans="1:3" x14ac:dyDescent="0.25">
      <c r="A13896" t="str">
        <f>"0611840823100"</f>
        <v>0611840823100</v>
      </c>
      <c r="B13896" t="str">
        <f>"LK4737"</f>
        <v>LK4737</v>
      </c>
      <c r="C13896" t="s">
        <v>13682</v>
      </c>
    </row>
    <row r="13897" spans="1:3" x14ac:dyDescent="0.25">
      <c r="A13897" t="str">
        <f>"0611840796100"</f>
        <v>0611840796100</v>
      </c>
      <c r="B13897" t="str">
        <f>"LK2496"</f>
        <v>LK2496</v>
      </c>
      <c r="C13897" t="s">
        <v>13657</v>
      </c>
    </row>
    <row r="13898" spans="1:3" x14ac:dyDescent="0.25">
      <c r="A13898" t="str">
        <f>"0611840797100"</f>
        <v>0611840797100</v>
      </c>
      <c r="B13898" t="str">
        <f>"LK1831"</f>
        <v>LK1831</v>
      </c>
      <c r="C13898" t="s">
        <v>13658</v>
      </c>
    </row>
    <row r="13899" spans="1:3" x14ac:dyDescent="0.25">
      <c r="A13899" t="str">
        <f>"0611840798100"</f>
        <v>0611840798100</v>
      </c>
      <c r="B13899" t="str">
        <f>"LB9538"</f>
        <v>LB9538</v>
      </c>
      <c r="C13899" t="s">
        <v>13659</v>
      </c>
    </row>
    <row r="13900" spans="1:3" x14ac:dyDescent="0.25">
      <c r="A13900" t="str">
        <f>"0611840799100"</f>
        <v>0611840799100</v>
      </c>
      <c r="B13900" t="str">
        <f>"LK6674"</f>
        <v>LK6674</v>
      </c>
      <c r="C13900" t="s">
        <v>13660</v>
      </c>
    </row>
    <row r="13901" spans="1:3" x14ac:dyDescent="0.25">
      <c r="A13901" t="str">
        <f>"0611840800100"</f>
        <v>0611840800100</v>
      </c>
      <c r="B13901" t="str">
        <f>"LK3110"</f>
        <v>LK3110</v>
      </c>
      <c r="C13901" t="s">
        <v>13661</v>
      </c>
    </row>
    <row r="13902" spans="1:3" x14ac:dyDescent="0.25">
      <c r="A13902" t="str">
        <f>"0611840803100"</f>
        <v>0611840803100</v>
      </c>
      <c r="B13902" t="str">
        <f>"LK3111"</f>
        <v>LK3111</v>
      </c>
      <c r="C13902" t="s">
        <v>13672</v>
      </c>
    </row>
    <row r="13903" spans="1:3" x14ac:dyDescent="0.25">
      <c r="A13903" t="str">
        <f>"0611840804100"</f>
        <v>0611840804100</v>
      </c>
      <c r="B13903" t="str">
        <f>"LK3112"</f>
        <v>LK3112</v>
      </c>
      <c r="C13903" t="s">
        <v>13662</v>
      </c>
    </row>
    <row r="13904" spans="1:3" x14ac:dyDescent="0.25">
      <c r="A13904" t="str">
        <f>"0611840801100"</f>
        <v>0611840801100</v>
      </c>
      <c r="B13904" t="str">
        <f>"LK5426"</f>
        <v>LK5426</v>
      </c>
      <c r="C13904" t="s">
        <v>13663</v>
      </c>
    </row>
    <row r="13905" spans="1:3" x14ac:dyDescent="0.25">
      <c r="A13905" t="str">
        <f>"0611840805100"</f>
        <v>0611840805100</v>
      </c>
      <c r="B13905" t="str">
        <f>"LK4250"</f>
        <v>LK4250</v>
      </c>
      <c r="C13905" t="s">
        <v>13664</v>
      </c>
    </row>
    <row r="13906" spans="1:3" x14ac:dyDescent="0.25">
      <c r="A13906" t="str">
        <f>"0611840806100"</f>
        <v>0611840806100</v>
      </c>
      <c r="B13906" t="str">
        <f>"LK4251"</f>
        <v>LK4251</v>
      </c>
      <c r="C13906" t="s">
        <v>13665</v>
      </c>
    </row>
    <row r="13907" spans="1:3" x14ac:dyDescent="0.25">
      <c r="A13907" t="str">
        <f>"0611840802100"</f>
        <v>0611840802100</v>
      </c>
      <c r="B13907" t="str">
        <f>"LK5427"</f>
        <v>LK5427</v>
      </c>
      <c r="C13907" t="s">
        <v>13666</v>
      </c>
    </row>
    <row r="13908" spans="1:3" x14ac:dyDescent="0.25">
      <c r="A13908" t="str">
        <f>"0611840807100"</f>
        <v>0611840807100</v>
      </c>
      <c r="B13908" t="str">
        <f>"LK4249"</f>
        <v>LK4249</v>
      </c>
      <c r="C13908" t="s">
        <v>13667</v>
      </c>
    </row>
    <row r="13909" spans="1:3" x14ac:dyDescent="0.25">
      <c r="A13909" t="str">
        <f>"0611840808100"</f>
        <v>0611840808100</v>
      </c>
      <c r="B13909" t="str">
        <f>"LK7044"</f>
        <v>LK7044</v>
      </c>
      <c r="C13909" t="s">
        <v>13668</v>
      </c>
    </row>
    <row r="13910" spans="1:3" x14ac:dyDescent="0.25">
      <c r="A13910" t="str">
        <f>"0611840809100"</f>
        <v>0611840809100</v>
      </c>
      <c r="B13910" t="str">
        <f>"LK4400"</f>
        <v>LK4400</v>
      </c>
      <c r="C13910" t="s">
        <v>13669</v>
      </c>
    </row>
    <row r="13911" spans="1:3" x14ac:dyDescent="0.25">
      <c r="A13911" t="str">
        <f>"0611840810100"</f>
        <v>0611840810100</v>
      </c>
      <c r="B13911" t="str">
        <f>"LK4252"</f>
        <v>LK4252</v>
      </c>
      <c r="C13911" t="s">
        <v>13670</v>
      </c>
    </row>
    <row r="13912" spans="1:3" x14ac:dyDescent="0.25">
      <c r="A13912" t="str">
        <f>"0611840811100"</f>
        <v>0611840811100</v>
      </c>
      <c r="B13912" t="str">
        <f>"LK5536"</f>
        <v>LK5536</v>
      </c>
      <c r="C13912" t="s">
        <v>13671</v>
      </c>
    </row>
    <row r="13913" spans="1:3" x14ac:dyDescent="0.25">
      <c r="A13913" t="str">
        <f>"0611840812100"</f>
        <v>0611840812100</v>
      </c>
      <c r="B13913" t="str">
        <f>"LK1832"</f>
        <v>LK1832</v>
      </c>
      <c r="C13913" t="s">
        <v>13673</v>
      </c>
    </row>
    <row r="13914" spans="1:3" x14ac:dyDescent="0.25">
      <c r="A13914" t="str">
        <f>"0611840815100"</f>
        <v>0611840815100</v>
      </c>
      <c r="B13914" t="str">
        <f>"LK6506"</f>
        <v>LK6506</v>
      </c>
      <c r="C13914" t="s">
        <v>13674</v>
      </c>
    </row>
    <row r="13915" spans="1:3" x14ac:dyDescent="0.25">
      <c r="A13915" t="str">
        <f>"0611840816100"</f>
        <v>0611840816100</v>
      </c>
      <c r="B13915" t="str">
        <f>"LK0536"</f>
        <v>LK0536</v>
      </c>
      <c r="C13915" t="s">
        <v>13675</v>
      </c>
    </row>
    <row r="13916" spans="1:3" x14ac:dyDescent="0.25">
      <c r="A13916" t="str">
        <f>"0611840817100"</f>
        <v>0611840817100</v>
      </c>
      <c r="B13916" t="str">
        <f>"LB9539"</f>
        <v>LB9539</v>
      </c>
      <c r="C13916" t="s">
        <v>13676</v>
      </c>
    </row>
    <row r="13917" spans="1:3" x14ac:dyDescent="0.25">
      <c r="A13917" t="str">
        <f>"0611840818100"</f>
        <v>0611840818100</v>
      </c>
      <c r="B13917" t="str">
        <f>"LK6218"</f>
        <v>LK6218</v>
      </c>
      <c r="C13917" t="s">
        <v>13677</v>
      </c>
    </row>
    <row r="13918" spans="1:3" x14ac:dyDescent="0.25">
      <c r="A13918" t="str">
        <f>"0611840819100"</f>
        <v>0611840819100</v>
      </c>
      <c r="B13918" t="str">
        <f>"LK6982"</f>
        <v>LK6982</v>
      </c>
      <c r="C13918" t="s">
        <v>13678</v>
      </c>
    </row>
    <row r="13919" spans="1:3" x14ac:dyDescent="0.25">
      <c r="A13919" t="str">
        <f>"0611840820100"</f>
        <v>0611840820100</v>
      </c>
      <c r="B13919" t="str">
        <f>"LK4738"</f>
        <v>LK4738</v>
      </c>
      <c r="C13919" t="s">
        <v>13679</v>
      </c>
    </row>
    <row r="13920" spans="1:3" x14ac:dyDescent="0.25">
      <c r="A13920" t="str">
        <f>"0611840821100"</f>
        <v>0611840821100</v>
      </c>
      <c r="B13920" t="str">
        <f>"LB9432"</f>
        <v>LB9432</v>
      </c>
      <c r="C13920" t="s">
        <v>13680</v>
      </c>
    </row>
    <row r="13921" spans="1:3" x14ac:dyDescent="0.25">
      <c r="A13921" t="str">
        <f>"0611840822100"</f>
        <v>0611840822100</v>
      </c>
      <c r="B13921" t="str">
        <f>"LK4404"</f>
        <v>LK4404</v>
      </c>
      <c r="C13921" t="s">
        <v>13681</v>
      </c>
    </row>
    <row r="13922" spans="1:3" x14ac:dyDescent="0.25">
      <c r="A13922" t="str">
        <f>"0611840824100"</f>
        <v>0611840824100</v>
      </c>
      <c r="B13922" t="str">
        <f>"LB9630"</f>
        <v>LB9630</v>
      </c>
      <c r="C13922" t="s">
        <v>13683</v>
      </c>
    </row>
    <row r="13923" spans="1:3" x14ac:dyDescent="0.25">
      <c r="A13923" t="str">
        <f>"0611840825100"</f>
        <v>0611840825100</v>
      </c>
      <c r="B13923" t="str">
        <f>"LK4564"</f>
        <v>LK4564</v>
      </c>
      <c r="C13923" t="s">
        <v>13684</v>
      </c>
    </row>
    <row r="13924" spans="1:3" x14ac:dyDescent="0.25">
      <c r="A13924" t="str">
        <f>"0611840826100"</f>
        <v>0611840826100</v>
      </c>
      <c r="B13924" t="str">
        <f>"LK4565"</f>
        <v>LK4565</v>
      </c>
      <c r="C13924" t="s">
        <v>13685</v>
      </c>
    </row>
    <row r="13925" spans="1:3" x14ac:dyDescent="0.25">
      <c r="A13925" t="str">
        <f>"0611857184100"</f>
        <v>0611857184100</v>
      </c>
      <c r="B13925" t="str">
        <f>"LK7065"</f>
        <v>LK7065</v>
      </c>
      <c r="C13925" t="s">
        <v>13686</v>
      </c>
    </row>
    <row r="13926" spans="1:3" x14ac:dyDescent="0.25">
      <c r="A13926" t="str">
        <f>"0611840827100"</f>
        <v>0611840827100</v>
      </c>
      <c r="B13926" t="str">
        <f>"LK6351"</f>
        <v>LK6351</v>
      </c>
      <c r="C13926" t="s">
        <v>13687</v>
      </c>
    </row>
    <row r="13927" spans="1:3" x14ac:dyDescent="0.25">
      <c r="A13927" t="str">
        <f>"0611840836100"</f>
        <v>0611840836100</v>
      </c>
      <c r="B13927" t="str">
        <f>"LB9585"</f>
        <v>LB9585</v>
      </c>
      <c r="C13927" t="s">
        <v>13688</v>
      </c>
    </row>
    <row r="13928" spans="1:3" x14ac:dyDescent="0.25">
      <c r="A13928" t="str">
        <f>"0611840828100"</f>
        <v>0611840828100</v>
      </c>
      <c r="B13928" t="str">
        <f>"LB9664"</f>
        <v>LB9664</v>
      </c>
      <c r="C13928" t="s">
        <v>13689</v>
      </c>
    </row>
    <row r="13929" spans="1:3" x14ac:dyDescent="0.25">
      <c r="A13929" t="str">
        <f>"0611840829100"</f>
        <v>0611840829100</v>
      </c>
      <c r="B13929" t="str">
        <f>"LB9665"</f>
        <v>LB9665</v>
      </c>
      <c r="C13929" t="s">
        <v>13690</v>
      </c>
    </row>
    <row r="13930" spans="1:3" x14ac:dyDescent="0.25">
      <c r="A13930" t="str">
        <f>"0611840830100"</f>
        <v>0611840830100</v>
      </c>
      <c r="B13930" t="str">
        <f>"LB9933"</f>
        <v>LB9933</v>
      </c>
      <c r="C13930" t="s">
        <v>13691</v>
      </c>
    </row>
    <row r="13931" spans="1:3" x14ac:dyDescent="0.25">
      <c r="A13931" t="str">
        <f>"0611840831100"</f>
        <v>0611840831100</v>
      </c>
      <c r="B13931" t="str">
        <f>"LB9666"</f>
        <v>LB9666</v>
      </c>
      <c r="C13931" t="s">
        <v>13692</v>
      </c>
    </row>
    <row r="13932" spans="1:3" x14ac:dyDescent="0.25">
      <c r="A13932" t="str">
        <f>"0611840832100"</f>
        <v>0611840832100</v>
      </c>
      <c r="B13932" t="str">
        <f>"LB9471"</f>
        <v>LB9471</v>
      </c>
      <c r="C13932" t="s">
        <v>13693</v>
      </c>
    </row>
    <row r="13933" spans="1:3" x14ac:dyDescent="0.25">
      <c r="A13933" t="str">
        <f>"0611840833100"</f>
        <v>0611840833100</v>
      </c>
      <c r="B13933" t="str">
        <f>"LB9668"</f>
        <v>LB9668</v>
      </c>
      <c r="C13933" t="s">
        <v>13694</v>
      </c>
    </row>
    <row r="13934" spans="1:3" x14ac:dyDescent="0.25">
      <c r="A13934" t="str">
        <f>"0611840834100"</f>
        <v>0611840834100</v>
      </c>
      <c r="B13934" t="str">
        <f>"LB9670"</f>
        <v>LB9670</v>
      </c>
      <c r="C13934" t="s">
        <v>13695</v>
      </c>
    </row>
    <row r="13935" spans="1:3" x14ac:dyDescent="0.25">
      <c r="A13935" t="str">
        <f>"0611840837100"</f>
        <v>0611840837100</v>
      </c>
      <c r="B13935" t="str">
        <f>"LB9523"</f>
        <v>LB9523</v>
      </c>
      <c r="C13935" t="s">
        <v>13696</v>
      </c>
    </row>
    <row r="13936" spans="1:3" x14ac:dyDescent="0.25">
      <c r="A13936" t="str">
        <f>"0611840838100"</f>
        <v>0611840838100</v>
      </c>
      <c r="B13936" t="str">
        <f>"LB9427"</f>
        <v>LB9427</v>
      </c>
      <c r="C13936" t="s">
        <v>13697</v>
      </c>
    </row>
    <row r="13937" spans="1:3" x14ac:dyDescent="0.25">
      <c r="A13937" t="str">
        <f>"0611840839100"</f>
        <v>0611840839100</v>
      </c>
      <c r="B13937" t="str">
        <f>"LB9672"</f>
        <v>LB9672</v>
      </c>
      <c r="C13937" t="s">
        <v>13698</v>
      </c>
    </row>
    <row r="13938" spans="1:3" x14ac:dyDescent="0.25">
      <c r="A13938" t="str">
        <f>"0611840840100"</f>
        <v>0611840840100</v>
      </c>
      <c r="B13938" t="str">
        <f>"LB9428"</f>
        <v>LB9428</v>
      </c>
      <c r="C13938" t="s">
        <v>13699</v>
      </c>
    </row>
    <row r="13939" spans="1:3" x14ac:dyDescent="0.25">
      <c r="A13939" t="str">
        <f>"0611840841100"</f>
        <v>0611840841100</v>
      </c>
      <c r="B13939" t="str">
        <f>"LB9660"</f>
        <v>LB9660</v>
      </c>
      <c r="C13939" t="s">
        <v>13700</v>
      </c>
    </row>
    <row r="13940" spans="1:3" x14ac:dyDescent="0.25">
      <c r="A13940" t="str">
        <f>"0611840842100"</f>
        <v>0611840842100</v>
      </c>
      <c r="B13940" t="str">
        <f>"LK1473"</f>
        <v>LK1473</v>
      </c>
      <c r="C13940" t="s">
        <v>13701</v>
      </c>
    </row>
    <row r="13941" spans="1:3" x14ac:dyDescent="0.25">
      <c r="A13941" t="str">
        <f>"0611840843100"</f>
        <v>0611840843100</v>
      </c>
      <c r="B13941" t="str">
        <f>"LK1474"</f>
        <v>LK1474</v>
      </c>
      <c r="C13941" t="s">
        <v>13702</v>
      </c>
    </row>
    <row r="13942" spans="1:3" x14ac:dyDescent="0.25">
      <c r="A13942" t="str">
        <f>"0611840845100"</f>
        <v>0611840845100</v>
      </c>
      <c r="B13942" t="str">
        <f>"LK5415"</f>
        <v>LK5415</v>
      </c>
      <c r="C13942" t="s">
        <v>13703</v>
      </c>
    </row>
    <row r="13943" spans="1:3" x14ac:dyDescent="0.25">
      <c r="A13943" t="str">
        <f>"0611840846100"</f>
        <v>0611840846100</v>
      </c>
      <c r="B13943" t="str">
        <f>"LB9675"</f>
        <v>LB9675</v>
      </c>
      <c r="C13943" t="s">
        <v>13704</v>
      </c>
    </row>
    <row r="13944" spans="1:3" x14ac:dyDescent="0.25">
      <c r="A13944" t="str">
        <f>"0611840847100"</f>
        <v>0611840847100</v>
      </c>
      <c r="B13944" t="str">
        <f>"LK5417"</f>
        <v>LK5417</v>
      </c>
      <c r="C13944" t="s">
        <v>13705</v>
      </c>
    </row>
    <row r="13945" spans="1:3" x14ac:dyDescent="0.25">
      <c r="A13945" t="str">
        <f>"0611840848100"</f>
        <v>0611840848100</v>
      </c>
      <c r="B13945" t="str">
        <f>"LB9684"</f>
        <v>LB9684</v>
      </c>
      <c r="C13945" t="s">
        <v>13706</v>
      </c>
    </row>
    <row r="13946" spans="1:3" x14ac:dyDescent="0.25">
      <c r="A13946" t="str">
        <f>"0611840849100"</f>
        <v>0611840849100</v>
      </c>
      <c r="B13946" t="str">
        <f>"LK2498"</f>
        <v>LK2498</v>
      </c>
      <c r="C13946" t="s">
        <v>13707</v>
      </c>
    </row>
    <row r="13947" spans="1:3" x14ac:dyDescent="0.25">
      <c r="A13947" t="str">
        <f>"0611840850100"</f>
        <v>0611840850100</v>
      </c>
      <c r="B13947" t="str">
        <f>"LK4566"</f>
        <v>LK4566</v>
      </c>
      <c r="C13947" t="s">
        <v>13708</v>
      </c>
    </row>
    <row r="13948" spans="1:3" x14ac:dyDescent="0.25">
      <c r="A13948" t="str">
        <f>"0611840851100"</f>
        <v>0611840851100</v>
      </c>
      <c r="B13948" t="str">
        <f>"LK5537"</f>
        <v>LK5537</v>
      </c>
      <c r="C13948" t="s">
        <v>13709</v>
      </c>
    </row>
    <row r="13949" spans="1:3" x14ac:dyDescent="0.25">
      <c r="A13949" t="str">
        <f>"0611840852100"</f>
        <v>0611840852100</v>
      </c>
      <c r="B13949" t="str">
        <f>"LK4144"</f>
        <v>LK4144</v>
      </c>
      <c r="C13949" t="s">
        <v>13710</v>
      </c>
    </row>
    <row r="13950" spans="1:3" x14ac:dyDescent="0.25">
      <c r="A13950" t="str">
        <f>"0611840865100"</f>
        <v>0611840865100</v>
      </c>
      <c r="B13950" t="str">
        <f>"LK4405"</f>
        <v>LK4405</v>
      </c>
      <c r="C13950" t="s">
        <v>13722</v>
      </c>
    </row>
    <row r="13951" spans="1:3" x14ac:dyDescent="0.25">
      <c r="A13951" t="str">
        <f>"0611840866100"</f>
        <v>0611840866100</v>
      </c>
      <c r="B13951" t="str">
        <f>"LK4145"</f>
        <v>LK4145</v>
      </c>
      <c r="C13951" t="s">
        <v>13724</v>
      </c>
    </row>
    <row r="13952" spans="1:3" x14ac:dyDescent="0.25">
      <c r="A13952" t="str">
        <f>"0611840868100"</f>
        <v>0611840868100</v>
      </c>
      <c r="B13952" t="str">
        <f>"LK5619"</f>
        <v>LK5619</v>
      </c>
      <c r="C13952" t="s">
        <v>13725</v>
      </c>
    </row>
    <row r="13953" spans="1:3" x14ac:dyDescent="0.25">
      <c r="A13953" t="str">
        <f>"0611840867100"</f>
        <v>0611840867100</v>
      </c>
      <c r="B13953" t="str">
        <f>"LK4567"</f>
        <v>LK4567</v>
      </c>
      <c r="C13953" t="s">
        <v>13726</v>
      </c>
    </row>
    <row r="13954" spans="1:3" x14ac:dyDescent="0.25">
      <c r="A13954" t="str">
        <f>"0611840869100"</f>
        <v>0611840869100</v>
      </c>
      <c r="B13954" t="str">
        <f>"LK5990"</f>
        <v>LK5990</v>
      </c>
      <c r="C13954" t="s">
        <v>13727</v>
      </c>
    </row>
    <row r="13955" spans="1:3" x14ac:dyDescent="0.25">
      <c r="A13955" t="str">
        <f>"0611840870100"</f>
        <v>0611840870100</v>
      </c>
      <c r="B13955" t="str">
        <f>"LK4146"</f>
        <v>LK4146</v>
      </c>
      <c r="C13955" t="s">
        <v>13728</v>
      </c>
    </row>
    <row r="13956" spans="1:3" x14ac:dyDescent="0.25">
      <c r="A13956" t="str">
        <f>"0611840871100"</f>
        <v>0611840871100</v>
      </c>
      <c r="B13956" t="str">
        <f>"LK4406"</f>
        <v>LK4406</v>
      </c>
      <c r="C13956" t="s">
        <v>13729</v>
      </c>
    </row>
    <row r="13957" spans="1:3" x14ac:dyDescent="0.25">
      <c r="A13957" t="str">
        <f>"0611840872100"</f>
        <v>0611840872100</v>
      </c>
      <c r="B13957" t="str">
        <f>"LK5538"</f>
        <v>LK5538</v>
      </c>
      <c r="C13957" t="s">
        <v>13730</v>
      </c>
    </row>
    <row r="13958" spans="1:3" x14ac:dyDescent="0.25">
      <c r="A13958" t="str">
        <f>"0611840873100"</f>
        <v>0611840873100</v>
      </c>
      <c r="B13958" t="str">
        <f>"LK4147"</f>
        <v>LK4147</v>
      </c>
      <c r="C13958" t="s">
        <v>13731</v>
      </c>
    </row>
    <row r="13959" spans="1:3" x14ac:dyDescent="0.25">
      <c r="A13959" t="str">
        <f>"0611840874100"</f>
        <v>0611840874100</v>
      </c>
      <c r="B13959" t="str">
        <f>"LK5620"</f>
        <v>LK5620</v>
      </c>
      <c r="C13959" t="s">
        <v>13723</v>
      </c>
    </row>
    <row r="13960" spans="1:3" x14ac:dyDescent="0.25">
      <c r="A13960" t="str">
        <f>"0611840877100"</f>
        <v>0611840877100</v>
      </c>
      <c r="B13960" t="str">
        <f>"LK5623"</f>
        <v>LK5623</v>
      </c>
      <c r="C13960" t="s">
        <v>13733</v>
      </c>
    </row>
    <row r="13961" spans="1:3" x14ac:dyDescent="0.25">
      <c r="A13961" t="str">
        <f>"0611840878100"</f>
        <v>0611840878100</v>
      </c>
      <c r="B13961" t="str">
        <f>"LK4148"</f>
        <v>LK4148</v>
      </c>
      <c r="C13961" t="s">
        <v>13732</v>
      </c>
    </row>
    <row r="13962" spans="1:3" x14ac:dyDescent="0.25">
      <c r="A13962" t="str">
        <f>"0611864326050"</f>
        <v>0611864326050</v>
      </c>
      <c r="B13962" t="str">
        <f>"CR3031"</f>
        <v>CR3031</v>
      </c>
      <c r="C13962" t="s">
        <v>13734</v>
      </c>
    </row>
    <row r="13963" spans="1:3" x14ac:dyDescent="0.25">
      <c r="A13963" t="str">
        <f>"0611864327050"</f>
        <v>0611864327050</v>
      </c>
      <c r="B13963" t="str">
        <f>"CR3032"</f>
        <v>CR3032</v>
      </c>
      <c r="C13963" t="s">
        <v>13735</v>
      </c>
    </row>
    <row r="13964" spans="1:3" x14ac:dyDescent="0.25">
      <c r="A13964" t="str">
        <f>"0611840879100"</f>
        <v>0611840879100</v>
      </c>
      <c r="B13964" t="str">
        <f>"LK6561"</f>
        <v>LK6561</v>
      </c>
      <c r="C13964" t="s">
        <v>13736</v>
      </c>
    </row>
    <row r="13965" spans="1:3" x14ac:dyDescent="0.25">
      <c r="A13965" t="str">
        <f>"0611840880100"</f>
        <v>0611840880100</v>
      </c>
      <c r="B13965" t="str">
        <f>"LK2730"</f>
        <v>LK2730</v>
      </c>
      <c r="C13965" t="s">
        <v>13737</v>
      </c>
    </row>
    <row r="13966" spans="1:3" x14ac:dyDescent="0.25">
      <c r="A13966" t="str">
        <f>"0611857185100"</f>
        <v>0611857185100</v>
      </c>
      <c r="B13966" t="str">
        <f>"LK7117"</f>
        <v>LK7117</v>
      </c>
      <c r="C13966" t="s">
        <v>13738</v>
      </c>
    </row>
    <row r="13967" spans="1:3" x14ac:dyDescent="0.25">
      <c r="A13967" t="str">
        <f>"0611840881100"</f>
        <v>0611840881100</v>
      </c>
      <c r="B13967" t="str">
        <f>"LK3114"</f>
        <v>LK3114</v>
      </c>
      <c r="C13967" t="s">
        <v>13739</v>
      </c>
    </row>
    <row r="13968" spans="1:3" x14ac:dyDescent="0.25">
      <c r="A13968" t="str">
        <f>"0611840882100"</f>
        <v>0611840882100</v>
      </c>
      <c r="B13968" t="str">
        <f>"LK6562"</f>
        <v>LK6562</v>
      </c>
      <c r="C13968" t="s">
        <v>13740</v>
      </c>
    </row>
    <row r="13969" spans="1:3" x14ac:dyDescent="0.25">
      <c r="A13969" t="str">
        <f>"0611840883100"</f>
        <v>0611840883100</v>
      </c>
      <c r="B13969" t="str">
        <f>"LK3115"</f>
        <v>LK3115</v>
      </c>
      <c r="C13969" t="s">
        <v>13741</v>
      </c>
    </row>
    <row r="13970" spans="1:3" x14ac:dyDescent="0.25">
      <c r="A13970" t="str">
        <f>"0611840884100"</f>
        <v>0611840884100</v>
      </c>
      <c r="B13970" t="str">
        <f>"LK3116"</f>
        <v>LK3116</v>
      </c>
      <c r="C13970" t="s">
        <v>13742</v>
      </c>
    </row>
    <row r="13971" spans="1:3" x14ac:dyDescent="0.25">
      <c r="A13971" t="str">
        <f>"0611840885100"</f>
        <v>0611840885100</v>
      </c>
      <c r="B13971" t="str">
        <f>"LK3117"</f>
        <v>LK3117</v>
      </c>
      <c r="C13971" t="s">
        <v>13743</v>
      </c>
    </row>
    <row r="13972" spans="1:3" x14ac:dyDescent="0.25">
      <c r="A13972" t="str">
        <f>"0611840886100"</f>
        <v>0611840886100</v>
      </c>
      <c r="B13972" t="str">
        <f>"LK6531"</f>
        <v>LK6531</v>
      </c>
      <c r="C13972" t="s">
        <v>13744</v>
      </c>
    </row>
    <row r="13973" spans="1:3" x14ac:dyDescent="0.25">
      <c r="A13973" t="str">
        <f>"0611840887100"</f>
        <v>0611840887100</v>
      </c>
      <c r="B13973" t="str">
        <f>"LK6532"</f>
        <v>LK6532</v>
      </c>
      <c r="C13973" t="s">
        <v>13745</v>
      </c>
    </row>
    <row r="13974" spans="1:3" x14ac:dyDescent="0.25">
      <c r="A13974" t="str">
        <f>"0611840888100"</f>
        <v>0611840888100</v>
      </c>
      <c r="B13974" t="str">
        <f>"LK6533"</f>
        <v>LK6533</v>
      </c>
      <c r="C13974" t="s">
        <v>13746</v>
      </c>
    </row>
    <row r="13975" spans="1:3" x14ac:dyDescent="0.25">
      <c r="A13975" t="str">
        <f>"0611840889100"</f>
        <v>0611840889100</v>
      </c>
      <c r="B13975" t="str">
        <f>"LK6534"</f>
        <v>LK6534</v>
      </c>
      <c r="C13975" t="s">
        <v>13747</v>
      </c>
    </row>
    <row r="13976" spans="1:3" x14ac:dyDescent="0.25">
      <c r="A13976" t="str">
        <f>"0611840892100"</f>
        <v>0611840892100</v>
      </c>
      <c r="B13976" t="str">
        <f>"LK1069"</f>
        <v>LK1069</v>
      </c>
      <c r="C13976" t="s">
        <v>13748</v>
      </c>
    </row>
    <row r="13977" spans="1:3" x14ac:dyDescent="0.25">
      <c r="A13977" t="str">
        <f>"0611840895100"</f>
        <v>0611840895100</v>
      </c>
      <c r="B13977" t="str">
        <f>"LK2500"</f>
        <v>LK2500</v>
      </c>
      <c r="C13977" t="s">
        <v>13749</v>
      </c>
    </row>
    <row r="13978" spans="1:3" x14ac:dyDescent="0.25">
      <c r="A13978" t="str">
        <f>"0611857186100"</f>
        <v>0611857186100</v>
      </c>
      <c r="B13978" t="str">
        <f>"LK7118"</f>
        <v>LK7118</v>
      </c>
      <c r="C13978" t="s">
        <v>13750</v>
      </c>
    </row>
    <row r="13979" spans="1:3" x14ac:dyDescent="0.25">
      <c r="A13979" t="str">
        <f>"0611857187100"</f>
        <v>0611857187100</v>
      </c>
      <c r="B13979" t="str">
        <f>"LK7119"</f>
        <v>LK7119</v>
      </c>
      <c r="C13979" t="s">
        <v>13751</v>
      </c>
    </row>
    <row r="13980" spans="1:3" x14ac:dyDescent="0.25">
      <c r="A13980" t="str">
        <f>"0611857188100"</f>
        <v>0611857188100</v>
      </c>
      <c r="B13980" t="str">
        <f>"LK7120"</f>
        <v>LK7120</v>
      </c>
      <c r="C13980" t="s">
        <v>13752</v>
      </c>
    </row>
    <row r="13981" spans="1:3" x14ac:dyDescent="0.25">
      <c r="A13981" t="str">
        <f>"0611884531100"</f>
        <v>0611884531100</v>
      </c>
      <c r="B13981" t="str">
        <f>"LK7200"</f>
        <v>LK7200</v>
      </c>
      <c r="C13981" t="s">
        <v>13753</v>
      </c>
    </row>
    <row r="13982" spans="1:3" x14ac:dyDescent="0.25">
      <c r="A13982" t="str">
        <f>"0611857189100"</f>
        <v>0611857189100</v>
      </c>
      <c r="B13982" t="str">
        <f>"LK7121"</f>
        <v>LK7121</v>
      </c>
      <c r="C13982" t="s">
        <v>13754</v>
      </c>
    </row>
  </sheetData>
  <sortState xmlns:xlrd2="http://schemas.microsoft.com/office/spreadsheetml/2017/richdata2" ref="A21:C13982">
    <sortCondition ref="C21:C13982"/>
  </sortState>
  <mergeCells count="11">
    <mergeCell ref="A12:D12"/>
    <mergeCell ref="A13:D13"/>
    <mergeCell ref="A14:D14"/>
    <mergeCell ref="A15:D15"/>
    <mergeCell ref="A16:D16"/>
    <mergeCell ref="A11:D11"/>
    <mergeCell ref="A5:D5"/>
    <mergeCell ref="A7:D7"/>
    <mergeCell ref="A8:D8"/>
    <mergeCell ref="A9:D9"/>
    <mergeCell ref="A10:D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Jones</dc:creator>
  <cp:lastModifiedBy>Kim Jones</cp:lastModifiedBy>
  <dcterms:created xsi:type="dcterms:W3CDTF">2024-10-22T16:36:26Z</dcterms:created>
  <dcterms:modified xsi:type="dcterms:W3CDTF">2025-05-15T12:11:37Z</dcterms:modified>
</cp:coreProperties>
</file>